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defaultThemeVersion="166925"/>
  <mc:AlternateContent xmlns:mc="http://schemas.openxmlformats.org/markup-compatibility/2006">
    <mc:Choice Requires="x15">
      <x15ac:absPath xmlns:x15ac="http://schemas.microsoft.com/office/spreadsheetml/2010/11/ac" url="C:\Users\AndrewWagner\Desktop\Impact Model Updates\"/>
    </mc:Choice>
  </mc:AlternateContent>
  <xr:revisionPtr revIDLastSave="0" documentId="13_ncr:1_{C0AA3E7C-083E-4FD7-8AD2-4BEEA77C26DE}" xr6:coauthVersionLast="47" xr6:coauthVersionMax="47" xr10:uidLastSave="{00000000-0000-0000-0000-000000000000}"/>
  <bookViews>
    <workbookView xWindow="-120" yWindow="-120" windowWidth="29040" windowHeight="15840" xr2:uid="{E9591386-531F-4FB0-A33E-843184520224}"/>
  </bookViews>
  <sheets>
    <sheet name="Introduction" sheetId="9" r:id="rId1"/>
    <sheet name="Units" sheetId="1" r:id="rId2"/>
    <sheet name="Revenue" sheetId="7" r:id="rId3"/>
    <sheet name="Code Rates" sheetId="3" r:id="rId4"/>
    <sheet name="Code Minutes" sheetId="5" r:id="rId5"/>
    <sheet name="Provider Rates" sheetId="4"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3" l="1"/>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2" i="7"/>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133" i="7"/>
  <c r="A134" i="7"/>
  <c r="A135" i="7"/>
  <c r="A136" i="7"/>
  <c r="A137" i="7"/>
  <c r="A138" i="7"/>
  <c r="A139" i="7"/>
  <c r="A140" i="7"/>
  <c r="A2"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O136" i="3" l="1"/>
  <c r="N136" i="3"/>
  <c r="M136" i="3"/>
  <c r="L136" i="3"/>
  <c r="K136" i="3"/>
  <c r="J136" i="3"/>
  <c r="I136" i="3"/>
  <c r="H136" i="3"/>
  <c r="G136" i="3"/>
  <c r="F136" i="3"/>
  <c r="E136" i="3"/>
  <c r="D136" i="3"/>
  <c r="O135" i="3"/>
  <c r="N135" i="3"/>
  <c r="M135" i="3"/>
  <c r="L135" i="3"/>
  <c r="K135" i="3"/>
  <c r="J135" i="3"/>
  <c r="I135" i="3"/>
  <c r="H135" i="3"/>
  <c r="G135" i="3"/>
  <c r="F135" i="3"/>
  <c r="E135" i="3"/>
  <c r="D135" i="3"/>
  <c r="O134" i="3"/>
  <c r="N134" i="3"/>
  <c r="M134" i="3"/>
  <c r="L134" i="3"/>
  <c r="K134" i="3"/>
  <c r="J134" i="3"/>
  <c r="I134" i="3"/>
  <c r="H134" i="3"/>
  <c r="G134" i="3"/>
  <c r="F134" i="3"/>
  <c r="E134" i="3"/>
  <c r="D134" i="3"/>
  <c r="O132" i="3"/>
  <c r="N132" i="3"/>
  <c r="M132" i="3"/>
  <c r="L132" i="3"/>
  <c r="K132" i="3"/>
  <c r="J132" i="3"/>
  <c r="I132" i="3"/>
  <c r="H132" i="3"/>
  <c r="G132" i="3"/>
  <c r="F132" i="3"/>
  <c r="E132" i="3"/>
  <c r="D132" i="3"/>
  <c r="O131" i="3"/>
  <c r="N131" i="3"/>
  <c r="M131" i="3"/>
  <c r="L131" i="3"/>
  <c r="K131" i="3"/>
  <c r="J131" i="3"/>
  <c r="I131" i="3"/>
  <c r="H131" i="3"/>
  <c r="G131" i="3"/>
  <c r="F131" i="3"/>
  <c r="E131" i="3"/>
  <c r="D131" i="3"/>
  <c r="O130" i="3"/>
  <c r="N130" i="3"/>
  <c r="M130" i="3"/>
  <c r="L130" i="3"/>
  <c r="K130" i="3"/>
  <c r="J130" i="3"/>
  <c r="I130" i="3"/>
  <c r="H130" i="3"/>
  <c r="G130" i="3"/>
  <c r="F130" i="3"/>
  <c r="E130" i="3"/>
  <c r="D130" i="3"/>
  <c r="O129" i="3"/>
  <c r="N129" i="3"/>
  <c r="M129" i="3"/>
  <c r="L129" i="3"/>
  <c r="K129" i="3"/>
  <c r="J129" i="3"/>
  <c r="I129" i="3"/>
  <c r="H129" i="3"/>
  <c r="G129" i="3"/>
  <c r="F129" i="3"/>
  <c r="E129" i="3"/>
  <c r="D129" i="3"/>
  <c r="O128" i="3"/>
  <c r="N128" i="3"/>
  <c r="M128" i="3"/>
  <c r="L128" i="3"/>
  <c r="K128" i="3"/>
  <c r="J128" i="3"/>
  <c r="I128" i="3"/>
  <c r="H128" i="3"/>
  <c r="G128" i="3"/>
  <c r="F128" i="3"/>
  <c r="E128" i="3"/>
  <c r="D128" i="3"/>
  <c r="O120" i="3"/>
  <c r="N120" i="3"/>
  <c r="M120" i="3"/>
  <c r="L120" i="3"/>
  <c r="K120" i="3"/>
  <c r="J120" i="3"/>
  <c r="I120" i="3"/>
  <c r="H120" i="3"/>
  <c r="G120" i="3"/>
  <c r="F120" i="3"/>
  <c r="E120" i="3"/>
  <c r="D120" i="3"/>
  <c r="O119" i="3"/>
  <c r="N119" i="3"/>
  <c r="M119" i="3"/>
  <c r="L119" i="3"/>
  <c r="K119" i="3"/>
  <c r="J119" i="3"/>
  <c r="I119" i="3"/>
  <c r="H119" i="3"/>
  <c r="G119" i="3"/>
  <c r="F119" i="3"/>
  <c r="E119" i="3"/>
  <c r="D119" i="3"/>
  <c r="O118" i="3"/>
  <c r="N118" i="3"/>
  <c r="M118" i="3"/>
  <c r="L118" i="3"/>
  <c r="K118" i="3"/>
  <c r="J118" i="3"/>
  <c r="I118" i="3"/>
  <c r="H118" i="3"/>
  <c r="G118" i="3"/>
  <c r="F118" i="3"/>
  <c r="E118" i="3"/>
  <c r="D118" i="3"/>
  <c r="O66" i="3"/>
  <c r="N66" i="3"/>
  <c r="M66" i="3"/>
  <c r="L66" i="3"/>
  <c r="K66" i="3"/>
  <c r="J66" i="3"/>
  <c r="I66" i="3"/>
  <c r="H66" i="3"/>
  <c r="G66" i="3"/>
  <c r="F66" i="3"/>
  <c r="E66" i="3"/>
  <c r="D66" i="3"/>
  <c r="O65" i="3"/>
  <c r="N65" i="3"/>
  <c r="M65" i="3"/>
  <c r="L65" i="3"/>
  <c r="K65" i="3"/>
  <c r="J65" i="3"/>
  <c r="I65" i="3"/>
  <c r="H65" i="3"/>
  <c r="G65" i="3"/>
  <c r="F65" i="3"/>
  <c r="E65" i="3"/>
  <c r="D65" i="3"/>
  <c r="O64" i="3"/>
  <c r="N64" i="3"/>
  <c r="M64" i="3"/>
  <c r="L64" i="3"/>
  <c r="K64" i="3"/>
  <c r="J64" i="3"/>
  <c r="I64" i="3"/>
  <c r="H64" i="3"/>
  <c r="G64" i="3"/>
  <c r="F64" i="3"/>
  <c r="E64" i="3"/>
  <c r="D64" i="3"/>
  <c r="O63" i="3"/>
  <c r="N63" i="3"/>
  <c r="M63" i="3"/>
  <c r="L63" i="3"/>
  <c r="K63" i="3"/>
  <c r="J63" i="3"/>
  <c r="I63" i="3"/>
  <c r="H63" i="3"/>
  <c r="G63" i="3"/>
  <c r="F63" i="3"/>
  <c r="E63" i="3"/>
  <c r="D63" i="3"/>
  <c r="O62" i="3"/>
  <c r="N62" i="3"/>
  <c r="M62" i="3"/>
  <c r="L62" i="3"/>
  <c r="K62" i="3"/>
  <c r="J62" i="3"/>
  <c r="I62" i="3"/>
  <c r="H62" i="3"/>
  <c r="G62" i="3"/>
  <c r="F62" i="3"/>
  <c r="E62" i="3"/>
  <c r="D62" i="3"/>
  <c r="O61" i="3"/>
  <c r="N61" i="3"/>
  <c r="M61" i="3"/>
  <c r="L61" i="3"/>
  <c r="K61" i="3"/>
  <c r="J61" i="3"/>
  <c r="I61" i="3"/>
  <c r="H61" i="3"/>
  <c r="G61" i="3"/>
  <c r="F61" i="3"/>
  <c r="E61" i="3"/>
  <c r="D61" i="3"/>
  <c r="O60" i="3"/>
  <c r="N60" i="3"/>
  <c r="M60" i="3"/>
  <c r="L60" i="3"/>
  <c r="K60" i="3"/>
  <c r="J60" i="3"/>
  <c r="I60" i="3"/>
  <c r="H60" i="3"/>
  <c r="G60" i="3"/>
  <c r="F60" i="3"/>
  <c r="E60" i="3"/>
  <c r="D60" i="3"/>
  <c r="O59" i="3"/>
  <c r="N59" i="3"/>
  <c r="M59" i="3"/>
  <c r="L59" i="3"/>
  <c r="K59" i="3"/>
  <c r="J59" i="3"/>
  <c r="I59" i="3"/>
  <c r="H59" i="3"/>
  <c r="G59" i="3"/>
  <c r="F59" i="3"/>
  <c r="E59" i="3"/>
  <c r="D59" i="3"/>
  <c r="O34" i="3"/>
  <c r="N34" i="3"/>
  <c r="M34" i="3"/>
  <c r="L34" i="3"/>
  <c r="K34" i="3"/>
  <c r="J34" i="3"/>
  <c r="I34" i="3"/>
  <c r="H34" i="3"/>
  <c r="G34" i="3"/>
  <c r="F34" i="3"/>
  <c r="E34" i="3"/>
  <c r="D34" i="3"/>
  <c r="O33" i="3"/>
  <c r="N33" i="3"/>
  <c r="M33" i="3"/>
  <c r="L33" i="3"/>
  <c r="K33" i="3"/>
  <c r="J33" i="3"/>
  <c r="I33" i="3"/>
  <c r="H33" i="3"/>
  <c r="G33" i="3"/>
  <c r="F33" i="3"/>
  <c r="E33" i="3"/>
  <c r="D33" i="3"/>
  <c r="O24" i="3"/>
  <c r="N24" i="3"/>
  <c r="M24" i="3"/>
  <c r="L24" i="3"/>
  <c r="K24" i="3"/>
  <c r="J24" i="3"/>
  <c r="I24" i="3"/>
  <c r="H24" i="3"/>
  <c r="G24" i="3"/>
  <c r="F24" i="3"/>
  <c r="E24" i="3"/>
  <c r="D24" i="3"/>
  <c r="O23" i="3"/>
  <c r="N23" i="3"/>
  <c r="M23" i="3"/>
  <c r="L23" i="3"/>
  <c r="K23" i="3"/>
  <c r="J23" i="3"/>
  <c r="I23" i="3"/>
  <c r="H23" i="3"/>
  <c r="G23" i="3"/>
  <c r="F23" i="3"/>
  <c r="E23" i="3"/>
  <c r="D23" i="3"/>
  <c r="O16" i="3"/>
  <c r="N16" i="3"/>
  <c r="M16" i="3"/>
  <c r="L16" i="3"/>
  <c r="K16" i="3"/>
  <c r="J16" i="3"/>
  <c r="I16" i="3"/>
  <c r="H16" i="3"/>
  <c r="G16" i="3"/>
  <c r="F16" i="3"/>
  <c r="E16" i="3"/>
  <c r="D16" i="3"/>
  <c r="O15" i="3"/>
  <c r="N15" i="3"/>
  <c r="M15" i="3"/>
  <c r="L15" i="3"/>
  <c r="K15" i="3"/>
  <c r="J15" i="3"/>
  <c r="I15" i="3"/>
  <c r="H15" i="3"/>
  <c r="G15" i="3"/>
  <c r="F15" i="3"/>
  <c r="E15" i="3"/>
  <c r="D15" i="3"/>
  <c r="O14" i="3"/>
  <c r="N14" i="3"/>
  <c r="M14" i="3"/>
  <c r="L14" i="3"/>
  <c r="K14" i="3"/>
  <c r="J14" i="3"/>
  <c r="I14" i="3"/>
  <c r="H14" i="3"/>
  <c r="G14" i="3"/>
  <c r="F14" i="3"/>
  <c r="E14" i="3"/>
  <c r="D14" i="3"/>
  <c r="O12" i="3"/>
  <c r="N12" i="3"/>
  <c r="M12" i="3"/>
  <c r="L12" i="3"/>
  <c r="K12" i="3"/>
  <c r="J12" i="3"/>
  <c r="I12" i="3"/>
  <c r="H12" i="3"/>
  <c r="G12" i="3"/>
  <c r="F12" i="3"/>
  <c r="E12" i="3"/>
  <c r="D12" i="3"/>
  <c r="O11" i="3"/>
  <c r="N11" i="3"/>
  <c r="M11" i="3"/>
  <c r="L11" i="3"/>
  <c r="K11" i="3"/>
  <c r="J11" i="3"/>
  <c r="I11" i="3"/>
  <c r="H11" i="3"/>
  <c r="G11" i="3"/>
  <c r="F11" i="3"/>
  <c r="E11" i="3"/>
  <c r="D11" i="3"/>
  <c r="O9" i="3"/>
  <c r="N9" i="3"/>
  <c r="M9" i="3"/>
  <c r="L9" i="3"/>
  <c r="K9" i="3"/>
  <c r="J9" i="3"/>
  <c r="I9" i="3"/>
  <c r="H9" i="3"/>
  <c r="G9" i="3"/>
  <c r="F9" i="3"/>
  <c r="E9" i="3"/>
  <c r="D9" i="3"/>
  <c r="O7" i="3"/>
  <c r="N7" i="3"/>
  <c r="M7" i="3"/>
  <c r="L7" i="3"/>
  <c r="K7" i="3"/>
  <c r="J7" i="3"/>
  <c r="I7" i="3"/>
  <c r="H7" i="3"/>
  <c r="G7" i="3"/>
  <c r="F7" i="3"/>
  <c r="E7" i="3"/>
  <c r="D7" i="3"/>
  <c r="O5" i="3"/>
  <c r="N5" i="3"/>
  <c r="M5" i="3"/>
  <c r="L5" i="3"/>
  <c r="K5" i="3"/>
  <c r="J5" i="3"/>
  <c r="I5" i="3"/>
  <c r="H5" i="3"/>
  <c r="G5" i="3"/>
  <c r="F5" i="3"/>
  <c r="E5" i="3"/>
  <c r="D5" i="3"/>
  <c r="O4" i="3"/>
  <c r="N4" i="3"/>
  <c r="M4" i="3"/>
  <c r="L4" i="3"/>
  <c r="K4" i="3"/>
  <c r="J4" i="3"/>
  <c r="I4" i="3"/>
  <c r="H4" i="3"/>
  <c r="G4" i="3"/>
  <c r="F4" i="3"/>
  <c r="E4" i="3"/>
  <c r="D4" i="3"/>
  <c r="O3" i="3"/>
  <c r="N3" i="3"/>
  <c r="M3" i="3"/>
  <c r="L3" i="3"/>
  <c r="K3" i="3"/>
  <c r="J3" i="3"/>
  <c r="I3" i="3"/>
  <c r="H3" i="3"/>
  <c r="G3" i="3"/>
  <c r="F3" i="3"/>
  <c r="E3" i="3"/>
  <c r="D3" i="3"/>
  <c r="E2" i="3"/>
  <c r="F2" i="3"/>
  <c r="G2" i="3"/>
  <c r="H2" i="3"/>
  <c r="I2" i="3"/>
  <c r="J2" i="3"/>
  <c r="K2" i="3"/>
  <c r="L2" i="3"/>
  <c r="M2" i="3"/>
  <c r="N2" i="3"/>
  <c r="O2" i="3"/>
  <c r="D2" i="3"/>
  <c r="D6" i="3"/>
  <c r="D8" i="3"/>
  <c r="D10" i="3"/>
  <c r="D13" i="3"/>
  <c r="D17" i="3"/>
  <c r="D18" i="3"/>
  <c r="D19" i="3"/>
  <c r="D20" i="3"/>
  <c r="D21" i="3"/>
  <c r="D22" i="3"/>
  <c r="D25" i="3"/>
  <c r="D26" i="3"/>
  <c r="D27" i="3"/>
  <c r="D28" i="3"/>
  <c r="D29" i="3"/>
  <c r="D30" i="3"/>
  <c r="D31" i="3"/>
  <c r="D32" i="3"/>
  <c r="D35" i="3"/>
  <c r="D36" i="3"/>
  <c r="D37" i="3"/>
  <c r="D38" i="3"/>
  <c r="D39" i="3"/>
  <c r="D40" i="3"/>
  <c r="D41" i="3"/>
  <c r="D42" i="3"/>
  <c r="D43" i="3"/>
  <c r="D44" i="3"/>
  <c r="D45" i="3"/>
  <c r="D46" i="3"/>
  <c r="D47" i="3"/>
  <c r="D48" i="3"/>
  <c r="D49" i="3"/>
  <c r="D50" i="3"/>
  <c r="D51" i="3"/>
  <c r="D52" i="3"/>
  <c r="D53" i="3"/>
  <c r="D54" i="3"/>
  <c r="D55" i="3"/>
  <c r="D56" i="3"/>
  <c r="D57" i="3"/>
  <c r="D58"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21" i="3"/>
  <c r="D122" i="3"/>
  <c r="D123" i="3"/>
  <c r="D124" i="3"/>
  <c r="D125" i="3"/>
  <c r="D126" i="3"/>
  <c r="D127" i="3"/>
  <c r="D133" i="3"/>
  <c r="D137" i="3"/>
  <c r="D138" i="3"/>
  <c r="D139" i="3"/>
  <c r="D140" i="3"/>
  <c r="R2" i="1"/>
  <c r="R3" i="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Q141" i="1" l="1"/>
  <c r="E141" i="1"/>
  <c r="F141" i="1"/>
  <c r="G141" i="1"/>
  <c r="H141" i="1"/>
  <c r="I141" i="1"/>
  <c r="J141" i="1"/>
  <c r="K141" i="1"/>
  <c r="L141" i="1"/>
  <c r="M141" i="1"/>
  <c r="N141" i="1"/>
  <c r="O141" i="1"/>
  <c r="P141" i="1"/>
  <c r="D141" i="1"/>
  <c r="L8" i="3" a="1"/>
  <c r="L8" i="3" s="1"/>
  <c r="L8" i="7" s="1"/>
  <c r="K95" i="3" a="1"/>
  <c r="K95" i="3" s="1"/>
  <c r="K95" i="7" s="1"/>
  <c r="K131" i="7"/>
  <c r="K135" i="7"/>
  <c r="J136" i="7"/>
  <c r="H137" i="3" a="1"/>
  <c r="H137" i="3" s="1"/>
  <c r="H137" i="7" s="1"/>
  <c r="I139" i="3" a="1"/>
  <c r="I139" i="3" s="1"/>
  <c r="I139" i="7" s="1"/>
  <c r="K140" i="3" a="1"/>
  <c r="K140" i="3" s="1"/>
  <c r="K140" i="7" s="1"/>
  <c r="O140" i="3" a="1"/>
  <c r="O140" i="3" s="1"/>
  <c r="O140" i="7" s="1"/>
  <c r="E2" i="7"/>
  <c r="G2" i="7"/>
  <c r="I2" i="7"/>
  <c r="C2" i="4"/>
  <c r="D118" i="7" s="1"/>
  <c r="C3" i="4"/>
  <c r="E56" i="3" s="1" a="1"/>
  <c r="E56" i="3" s="1"/>
  <c r="E56" i="7" s="1"/>
  <c r="C4" i="4"/>
  <c r="F90" i="3" s="1" a="1"/>
  <c r="F90" i="3" s="1"/>
  <c r="F90" i="7" s="1"/>
  <c r="C5" i="4"/>
  <c r="G89" i="3" s="1" a="1"/>
  <c r="G89" i="3" s="1"/>
  <c r="G89" i="7" s="1"/>
  <c r="C6" i="4"/>
  <c r="H134" i="7" s="1"/>
  <c r="C7" i="4"/>
  <c r="I131" i="7" s="1"/>
  <c r="C8" i="4"/>
  <c r="C9" i="4"/>
  <c r="K123" i="3" s="1" a="1"/>
  <c r="K123" i="3" s="1"/>
  <c r="K123" i="7" s="1"/>
  <c r="C10" i="4"/>
  <c r="L103" i="3" s="1" a="1"/>
  <c r="L103" i="3" s="1"/>
  <c r="L103" i="7" s="1"/>
  <c r="C11" i="4"/>
  <c r="M137" i="3" s="1" a="1"/>
  <c r="M137" i="3" s="1"/>
  <c r="M137" i="7" s="1"/>
  <c r="C12" i="4"/>
  <c r="N134" i="7" s="1"/>
  <c r="C13" i="4"/>
  <c r="O133" i="3" s="1" a="1"/>
  <c r="O133" i="3" s="1"/>
  <c r="O133" i="7" s="1"/>
  <c r="C14" i="4"/>
  <c r="C15" i="4"/>
  <c r="P127" i="3" l="1" a="1"/>
  <c r="P127" i="3" s="1"/>
  <c r="P127" i="7" s="1"/>
  <c r="P136" i="3"/>
  <c r="P65" i="3"/>
  <c r="P15" i="3"/>
  <c r="P135" i="3"/>
  <c r="P64" i="3"/>
  <c r="P14" i="3"/>
  <c r="P134" i="3"/>
  <c r="P63" i="3"/>
  <c r="P12" i="3"/>
  <c r="P132" i="3"/>
  <c r="P62" i="3"/>
  <c r="P11" i="3"/>
  <c r="P131" i="3"/>
  <c r="P61" i="3"/>
  <c r="P9" i="3"/>
  <c r="P130" i="3"/>
  <c r="P60" i="3"/>
  <c r="P7" i="3"/>
  <c r="P129" i="3"/>
  <c r="P59" i="3"/>
  <c r="P5" i="3"/>
  <c r="P128" i="3"/>
  <c r="P34" i="3"/>
  <c r="P4" i="3"/>
  <c r="P120" i="3"/>
  <c r="P33" i="3"/>
  <c r="P3" i="3"/>
  <c r="P2" i="3"/>
  <c r="P2" i="7" s="1"/>
  <c r="P119" i="3"/>
  <c r="P24" i="3"/>
  <c r="P118" i="3"/>
  <c r="P23" i="3"/>
  <c r="P66" i="3"/>
  <c r="P16" i="3"/>
  <c r="Q136" i="3"/>
  <c r="Q129" i="3"/>
  <c r="Q65" i="3"/>
  <c r="Q59" i="3"/>
  <c r="Q15" i="3"/>
  <c r="Q5" i="3"/>
  <c r="Q18" i="3"/>
  <c r="Q32" i="3"/>
  <c r="Q46" i="3"/>
  <c r="Q58" i="3"/>
  <c r="Q78" i="3"/>
  <c r="Q90" i="3"/>
  <c r="Q102" i="3"/>
  <c r="Q114" i="3"/>
  <c r="Q137" i="3"/>
  <c r="Q30" i="3"/>
  <c r="Q19" i="3"/>
  <c r="Q35" i="3"/>
  <c r="Q47" i="3"/>
  <c r="Q67" i="3"/>
  <c r="Q79" i="3"/>
  <c r="Q91" i="3"/>
  <c r="Q103" i="3"/>
  <c r="Q115" i="3"/>
  <c r="Q138" i="3"/>
  <c r="Q13" i="3"/>
  <c r="Q135" i="3"/>
  <c r="Q128" i="3"/>
  <c r="Q64" i="3"/>
  <c r="Q34" i="3"/>
  <c r="Q14" i="3"/>
  <c r="Q4" i="3"/>
  <c r="Q20" i="3"/>
  <c r="Q36" i="3"/>
  <c r="Q48" i="3"/>
  <c r="Q68" i="3"/>
  <c r="Q80" i="3"/>
  <c r="Q92" i="3"/>
  <c r="Q104" i="3"/>
  <c r="Q116" i="3"/>
  <c r="Q139" i="3"/>
  <c r="Q16" i="3"/>
  <c r="Q76" i="3"/>
  <c r="Q21" i="3"/>
  <c r="Q37" i="3"/>
  <c r="Q49" i="3"/>
  <c r="Q69" i="3"/>
  <c r="Q81" i="3"/>
  <c r="Q93" i="3"/>
  <c r="Q105" i="3"/>
  <c r="Q117" i="3"/>
  <c r="Q140" i="3"/>
  <c r="Q130" i="3"/>
  <c r="Q134" i="3"/>
  <c r="Q120" i="3"/>
  <c r="Q63" i="3"/>
  <c r="Q33" i="3"/>
  <c r="Q12" i="3"/>
  <c r="Q3" i="3"/>
  <c r="Q22" i="3"/>
  <c r="Q38" i="3"/>
  <c r="Q50" i="3"/>
  <c r="Q70" i="3"/>
  <c r="Q82" i="3"/>
  <c r="Q94" i="3"/>
  <c r="Q106" i="3"/>
  <c r="Q121" i="3"/>
  <c r="Q88" i="3"/>
  <c r="Q25" i="3"/>
  <c r="Q39" i="3"/>
  <c r="Q51" i="3"/>
  <c r="Q71" i="3"/>
  <c r="Q83" i="3"/>
  <c r="Q95" i="3"/>
  <c r="Q107" i="3"/>
  <c r="Q122" i="3"/>
  <c r="Q132" i="3"/>
  <c r="Q119" i="3"/>
  <c r="Q62" i="3"/>
  <c r="Q24" i="3"/>
  <c r="Q11" i="3"/>
  <c r="Q2" i="3"/>
  <c r="Q26" i="3"/>
  <c r="Q40" i="3"/>
  <c r="Q52" i="3"/>
  <c r="Q72" i="3"/>
  <c r="Q84" i="3"/>
  <c r="Q96" i="3"/>
  <c r="Q108" i="3"/>
  <c r="Q123" i="3"/>
  <c r="Q60" i="3"/>
  <c r="Q7" i="3"/>
  <c r="Q127" i="3"/>
  <c r="Q6" i="3"/>
  <c r="Q27" i="3"/>
  <c r="Q41" i="3"/>
  <c r="Q53" i="3"/>
  <c r="Q73" i="3"/>
  <c r="Q85" i="3"/>
  <c r="Q97" i="3"/>
  <c r="Q109" i="3"/>
  <c r="Q124" i="3"/>
  <c r="Q112" i="3"/>
  <c r="Q131" i="3"/>
  <c r="Q118" i="3"/>
  <c r="Q61" i="3"/>
  <c r="Q23" i="3"/>
  <c r="Q9" i="3"/>
  <c r="Q8" i="3"/>
  <c r="Q28" i="3"/>
  <c r="Q42" i="3"/>
  <c r="Q54" i="3"/>
  <c r="Q74" i="3"/>
  <c r="Q86" i="3"/>
  <c r="Q98" i="3"/>
  <c r="Q110" i="3"/>
  <c r="Q125" i="3"/>
  <c r="Q100" i="3"/>
  <c r="Q10" i="3"/>
  <c r="Q29" i="3"/>
  <c r="Q43" i="3"/>
  <c r="Q55" i="3"/>
  <c r="Q75" i="3"/>
  <c r="Q87" i="3"/>
  <c r="Q99" i="3"/>
  <c r="Q111" i="3"/>
  <c r="Q126" i="3"/>
  <c r="Q56" i="3"/>
  <c r="Q17" i="3"/>
  <c r="Q31" i="3"/>
  <c r="Q45" i="3"/>
  <c r="Q57" i="3"/>
  <c r="Q77" i="3"/>
  <c r="Q89" i="3"/>
  <c r="Q101" i="3"/>
  <c r="Q113" i="3"/>
  <c r="Q133" i="3"/>
  <c r="Q66" i="3"/>
  <c r="Q44" i="3"/>
  <c r="J138" i="3" a="1"/>
  <c r="J138" i="3" s="1"/>
  <c r="J138" i="7" s="1"/>
  <c r="J105" i="3" a="1"/>
  <c r="J105" i="3" s="1"/>
  <c r="J105" i="7" s="1"/>
  <c r="J124" i="3" a="1"/>
  <c r="J124" i="3" s="1"/>
  <c r="J124" i="7" s="1"/>
  <c r="F2" i="7"/>
  <c r="G138" i="3" a="1"/>
  <c r="G138" i="3" s="1"/>
  <c r="G138" i="7" s="1"/>
  <c r="O84" i="3" a="1"/>
  <c r="O84" i="3" s="1"/>
  <c r="O84" i="7" s="1"/>
  <c r="Q3" i="7"/>
  <c r="J140" i="3" a="1"/>
  <c r="J140" i="3" s="1"/>
  <c r="J140" i="7" s="1"/>
  <c r="J133" i="3" a="1"/>
  <c r="J133" i="3" s="1"/>
  <c r="J133" i="7" s="1"/>
  <c r="G140" i="3" a="1"/>
  <c r="G140" i="3" s="1"/>
  <c r="G140" i="7" s="1"/>
  <c r="H69" i="3" a="1"/>
  <c r="H69" i="3" s="1"/>
  <c r="H69" i="7" s="1"/>
  <c r="H140" i="3" a="1"/>
  <c r="H140" i="3" s="1"/>
  <c r="H140" i="7" s="1"/>
  <c r="E140" i="3" a="1"/>
  <c r="E140" i="3" s="1"/>
  <c r="E140" i="7" s="1"/>
  <c r="H115" i="3" a="1"/>
  <c r="H115" i="3" s="1"/>
  <c r="H115" i="7" s="1"/>
  <c r="F45" i="3" a="1"/>
  <c r="F45" i="3" s="1"/>
  <c r="F45" i="7" s="1"/>
  <c r="J2" i="7"/>
  <c r="F139" i="3" a="1"/>
  <c r="F139" i="3" s="1"/>
  <c r="F139" i="7" s="1"/>
  <c r="R141" i="1"/>
  <c r="P140" i="3" a="1"/>
  <c r="P140" i="3" s="1"/>
  <c r="P140" i="7" s="1"/>
  <c r="D140" i="7"/>
  <c r="E139" i="3" a="1"/>
  <c r="E139" i="3" s="1"/>
  <c r="E139" i="7" s="1"/>
  <c r="F138" i="3" a="1"/>
  <c r="F138" i="3" s="1"/>
  <c r="F138" i="7" s="1"/>
  <c r="G137" i="3" a="1"/>
  <c r="G137" i="3" s="1"/>
  <c r="G137" i="7" s="1"/>
  <c r="I136" i="7"/>
  <c r="I135" i="7"/>
  <c r="J134" i="7"/>
  <c r="I133" i="3" a="1"/>
  <c r="I133" i="3" s="1"/>
  <c r="I133" i="7" s="1"/>
  <c r="J131" i="7"/>
  <c r="I125" i="3" a="1"/>
  <c r="I125" i="3" s="1"/>
  <c r="I125" i="7" s="1"/>
  <c r="I114" i="3" a="1"/>
  <c r="I114" i="3" s="1"/>
  <c r="I114" i="7" s="1"/>
  <c r="K104" i="3" a="1"/>
  <c r="K104" i="3" s="1"/>
  <c r="K104" i="7" s="1"/>
  <c r="M94" i="3" a="1"/>
  <c r="M94" i="3" s="1"/>
  <c r="M94" i="7" s="1"/>
  <c r="P83" i="3" a="1"/>
  <c r="P83" i="3" s="1"/>
  <c r="P83" i="7" s="1"/>
  <c r="E3" i="7"/>
  <c r="P139" i="3" a="1"/>
  <c r="P139" i="3" s="1"/>
  <c r="P139" i="7" s="1"/>
  <c r="D139" i="7"/>
  <c r="E138" i="3" a="1"/>
  <c r="E138" i="3" s="1"/>
  <c r="E138" i="7" s="1"/>
  <c r="F137" i="3" a="1"/>
  <c r="F137" i="3" s="1"/>
  <c r="F137" i="7" s="1"/>
  <c r="G136" i="7"/>
  <c r="H135" i="7"/>
  <c r="I134" i="7"/>
  <c r="H133" i="3" a="1"/>
  <c r="H133" i="3" s="1"/>
  <c r="H133" i="7" s="1"/>
  <c r="K113" i="3" a="1"/>
  <c r="K113" i="3" s="1"/>
  <c r="K113" i="7" s="1"/>
  <c r="O93" i="3" a="1"/>
  <c r="O93" i="3" s="1"/>
  <c r="O93" i="7" s="1"/>
  <c r="D83" i="7"/>
  <c r="K66" i="7"/>
  <c r="D40" i="7"/>
  <c r="L9" i="7"/>
  <c r="L20" i="3" a="1"/>
  <c r="L20" i="3" s="1"/>
  <c r="L20" i="7" s="1"/>
  <c r="L30" i="3" a="1"/>
  <c r="L30" i="3" s="1"/>
  <c r="L30" i="7" s="1"/>
  <c r="L10" i="3" a="1"/>
  <c r="L10" i="3" s="1"/>
  <c r="L10" i="7" s="1"/>
  <c r="L21" i="3" a="1"/>
  <c r="L21" i="3" s="1"/>
  <c r="L21" i="7" s="1"/>
  <c r="L31" i="3" a="1"/>
  <c r="L31" i="3" s="1"/>
  <c r="L31" i="7" s="1"/>
  <c r="L43" i="3" a="1"/>
  <c r="L43" i="3" s="1"/>
  <c r="L43" i="7" s="1"/>
  <c r="L52" i="3" a="1"/>
  <c r="L52" i="3" s="1"/>
  <c r="L52" i="7" s="1"/>
  <c r="L67" i="3" a="1"/>
  <c r="L67" i="3" s="1"/>
  <c r="L67" i="7" s="1"/>
  <c r="L77" i="3" a="1"/>
  <c r="L77" i="3" s="1"/>
  <c r="L77" i="7" s="1"/>
  <c r="L11" i="7"/>
  <c r="L22" i="3" a="1"/>
  <c r="L22" i="3" s="1"/>
  <c r="L22" i="7" s="1"/>
  <c r="L38" i="3" a="1"/>
  <c r="L38" i="3" s="1"/>
  <c r="L38" i="7" s="1"/>
  <c r="L53" i="3" a="1"/>
  <c r="L53" i="3" s="1"/>
  <c r="L53" i="7" s="1"/>
  <c r="L12" i="7"/>
  <c r="L23" i="7"/>
  <c r="L32" i="3" a="1"/>
  <c r="L32" i="3" s="1"/>
  <c r="L32" i="7" s="1"/>
  <c r="L44" i="3" a="1"/>
  <c r="L44" i="3" s="1"/>
  <c r="L44" i="7" s="1"/>
  <c r="L62" i="7"/>
  <c r="L68" i="3" a="1"/>
  <c r="L68" i="3" s="1"/>
  <c r="L68" i="7" s="1"/>
  <c r="L13" i="3" a="1"/>
  <c r="L13" i="3" s="1"/>
  <c r="L13" i="7" s="1"/>
  <c r="L33" i="7"/>
  <c r="L45" i="3" a="1"/>
  <c r="L45" i="3" s="1"/>
  <c r="L45" i="7" s="1"/>
  <c r="L63" i="7"/>
  <c r="L69" i="3" a="1"/>
  <c r="L69" i="3" s="1"/>
  <c r="L69" i="7" s="1"/>
  <c r="L14" i="7"/>
  <c r="L24" i="7"/>
  <c r="L34" i="7"/>
  <c r="L39" i="3" a="1"/>
  <c r="L39" i="3" s="1"/>
  <c r="L39" i="7" s="1"/>
  <c r="L46" i="3" a="1"/>
  <c r="L46" i="3" s="1"/>
  <c r="L46" i="7" s="1"/>
  <c r="L54" i="3" a="1"/>
  <c r="L54" i="3" s="1"/>
  <c r="L54" i="7" s="1"/>
  <c r="L70" i="3" a="1"/>
  <c r="L70" i="3" s="1"/>
  <c r="L70" i="7" s="1"/>
  <c r="L3" i="7"/>
  <c r="L35" i="3" a="1"/>
  <c r="L35" i="3" s="1"/>
  <c r="L35" i="7" s="1"/>
  <c r="L47" i="3" a="1"/>
  <c r="L47" i="3" s="1"/>
  <c r="L47" i="7" s="1"/>
  <c r="L55" i="3" a="1"/>
  <c r="L55" i="3" s="1"/>
  <c r="L55" i="7" s="1"/>
  <c r="L71" i="3" a="1"/>
  <c r="L71" i="3" s="1"/>
  <c r="L71" i="7" s="1"/>
  <c r="L4" i="7"/>
  <c r="L15" i="7"/>
  <c r="L25" i="3" a="1"/>
  <c r="L25" i="3" s="1"/>
  <c r="L25" i="7" s="1"/>
  <c r="L40" i="3" a="1"/>
  <c r="L40" i="3" s="1"/>
  <c r="L40" i="7" s="1"/>
  <c r="L48" i="3" a="1"/>
  <c r="L48" i="3" s="1"/>
  <c r="L48" i="7" s="1"/>
  <c r="L56" i="3" a="1"/>
  <c r="L56" i="3" s="1"/>
  <c r="L56" i="7" s="1"/>
  <c r="L72" i="3" a="1"/>
  <c r="L72" i="3" s="1"/>
  <c r="L72" i="7" s="1"/>
  <c r="L5" i="7"/>
  <c r="L16" i="7"/>
  <c r="L26" i="3" a="1"/>
  <c r="L26" i="3" s="1"/>
  <c r="L26" i="7" s="1"/>
  <c r="L36" i="3" a="1"/>
  <c r="L36" i="3" s="1"/>
  <c r="L36" i="7" s="1"/>
  <c r="L57" i="3" a="1"/>
  <c r="L57" i="3" s="1"/>
  <c r="L57" i="7" s="1"/>
  <c r="L64" i="7"/>
  <c r="L6" i="3" a="1"/>
  <c r="L6" i="3" s="1"/>
  <c r="L6" i="7" s="1"/>
  <c r="L17" i="3" a="1"/>
  <c r="L17" i="3" s="1"/>
  <c r="L17" i="7" s="1"/>
  <c r="L27" i="3" a="1"/>
  <c r="L27" i="3" s="1"/>
  <c r="L27" i="7" s="1"/>
  <c r="L41" i="3" a="1"/>
  <c r="L41" i="3" s="1"/>
  <c r="L41" i="7" s="1"/>
  <c r="L49" i="3" a="1"/>
  <c r="L49" i="3" s="1"/>
  <c r="L49" i="7" s="1"/>
  <c r="L58" i="3" a="1"/>
  <c r="L58" i="3" s="1"/>
  <c r="L58" i="7" s="1"/>
  <c r="L86" i="3" a="1"/>
  <c r="L86" i="3" s="1"/>
  <c r="L86" i="7" s="1"/>
  <c r="L95" i="3" a="1"/>
  <c r="L95" i="3" s="1"/>
  <c r="L95" i="7" s="1"/>
  <c r="L104" i="3" a="1"/>
  <c r="L104" i="3" s="1"/>
  <c r="L104" i="7" s="1"/>
  <c r="L113" i="3" a="1"/>
  <c r="L113" i="3" s="1"/>
  <c r="L113" i="7" s="1"/>
  <c r="L123" i="3" a="1"/>
  <c r="L123" i="3" s="1"/>
  <c r="L123" i="7" s="1"/>
  <c r="L130" i="7"/>
  <c r="L60" i="7"/>
  <c r="L66" i="7"/>
  <c r="L96" i="3" a="1"/>
  <c r="L96" i="3" s="1"/>
  <c r="L96" i="7" s="1"/>
  <c r="L105" i="3" a="1"/>
  <c r="L105" i="3" s="1"/>
  <c r="L105" i="7" s="1"/>
  <c r="L124" i="3" a="1"/>
  <c r="L124" i="3" s="1"/>
  <c r="L124" i="7" s="1"/>
  <c r="L131" i="7"/>
  <c r="L78" i="3" a="1"/>
  <c r="L78" i="3" s="1"/>
  <c r="L78" i="7" s="1"/>
  <c r="L79" i="3" a="1"/>
  <c r="L79" i="3" s="1"/>
  <c r="L79" i="7" s="1"/>
  <c r="L87" i="3" a="1"/>
  <c r="L87" i="3" s="1"/>
  <c r="L87" i="7" s="1"/>
  <c r="L97" i="3" a="1"/>
  <c r="L97" i="3" s="1"/>
  <c r="L97" i="7" s="1"/>
  <c r="L114" i="3" a="1"/>
  <c r="L114" i="3" s="1"/>
  <c r="L114" i="7" s="1"/>
  <c r="L125" i="3" a="1"/>
  <c r="L125" i="3" s="1"/>
  <c r="L125" i="7" s="1"/>
  <c r="L50" i="3" a="1"/>
  <c r="L50" i="3" s="1"/>
  <c r="L50" i="7" s="1"/>
  <c r="L80" i="3" a="1"/>
  <c r="L80" i="3" s="1"/>
  <c r="L80" i="7" s="1"/>
  <c r="L88" i="3" a="1"/>
  <c r="L88" i="3" s="1"/>
  <c r="L88" i="7" s="1"/>
  <c r="L98" i="3" a="1"/>
  <c r="L98" i="3" s="1"/>
  <c r="L98" i="7" s="1"/>
  <c r="L106" i="3" a="1"/>
  <c r="L106" i="3" s="1"/>
  <c r="L106" i="7" s="1"/>
  <c r="L115" i="3" a="1"/>
  <c r="L115" i="3" s="1"/>
  <c r="L115" i="7" s="1"/>
  <c r="L37" i="3" a="1"/>
  <c r="L37" i="3" s="1"/>
  <c r="L37" i="7" s="1"/>
  <c r="L73" i="3" a="1"/>
  <c r="L73" i="3" s="1"/>
  <c r="L73" i="7" s="1"/>
  <c r="L76" i="3" a="1"/>
  <c r="L76" i="3" s="1"/>
  <c r="L76" i="7" s="1"/>
  <c r="L89" i="3" a="1"/>
  <c r="L89" i="3" s="1"/>
  <c r="L89" i="7" s="1"/>
  <c r="L116" i="3" a="1"/>
  <c r="L116" i="3" s="1"/>
  <c r="L116" i="7" s="1"/>
  <c r="L42" i="3" a="1"/>
  <c r="L42" i="3" s="1"/>
  <c r="L42" i="7" s="1"/>
  <c r="L61" i="7"/>
  <c r="L81" i="3" a="1"/>
  <c r="L81" i="3" s="1"/>
  <c r="L81" i="7" s="1"/>
  <c r="L90" i="3" a="1"/>
  <c r="L90" i="3" s="1"/>
  <c r="L90" i="7" s="1"/>
  <c r="L99" i="3" a="1"/>
  <c r="L99" i="3" s="1"/>
  <c r="L99" i="7" s="1"/>
  <c r="L107" i="3" a="1"/>
  <c r="L107" i="3" s="1"/>
  <c r="L107" i="7" s="1"/>
  <c r="L28" i="3" a="1"/>
  <c r="L28" i="3" s="1"/>
  <c r="L28" i="7" s="1"/>
  <c r="L82" i="3" a="1"/>
  <c r="L82" i="3" s="1"/>
  <c r="L82" i="7" s="1"/>
  <c r="L91" i="3" a="1"/>
  <c r="L91" i="3" s="1"/>
  <c r="L91" i="7" s="1"/>
  <c r="L117" i="3" a="1"/>
  <c r="L117" i="3" s="1"/>
  <c r="L117" i="7" s="1"/>
  <c r="L126" i="3" a="1"/>
  <c r="L126" i="3" s="1"/>
  <c r="L126" i="7" s="1"/>
  <c r="L51" i="3" a="1"/>
  <c r="L51" i="3" s="1"/>
  <c r="L51" i="7" s="1"/>
  <c r="L75" i="3" a="1"/>
  <c r="L75" i="3" s="1"/>
  <c r="L75" i="7" s="1"/>
  <c r="L83" i="3" a="1"/>
  <c r="L83" i="3" s="1"/>
  <c r="L83" i="7" s="1"/>
  <c r="L92" i="3" a="1"/>
  <c r="L92" i="3" s="1"/>
  <c r="L92" i="7" s="1"/>
  <c r="L100" i="3" a="1"/>
  <c r="L100" i="3" s="1"/>
  <c r="L100" i="7" s="1"/>
  <c r="L108" i="3" a="1"/>
  <c r="L108" i="3" s="1"/>
  <c r="L108" i="7" s="1"/>
  <c r="L118" i="7"/>
  <c r="L127" i="3" a="1"/>
  <c r="L127" i="3" s="1"/>
  <c r="L127" i="7" s="1"/>
  <c r="L7" i="7"/>
  <c r="L18" i="3" a="1"/>
  <c r="L18" i="3" s="1"/>
  <c r="L18" i="7" s="1"/>
  <c r="L65" i="7"/>
  <c r="L84" i="3" a="1"/>
  <c r="L84" i="3" s="1"/>
  <c r="L84" i="7" s="1"/>
  <c r="L93" i="3" a="1"/>
  <c r="L93" i="3" s="1"/>
  <c r="L93" i="7" s="1"/>
  <c r="L109" i="3" a="1"/>
  <c r="L109" i="3" s="1"/>
  <c r="L109" i="7" s="1"/>
  <c r="L119" i="7"/>
  <c r="L29" i="3" a="1"/>
  <c r="L29" i="3" s="1"/>
  <c r="L29" i="7" s="1"/>
  <c r="L59" i="7"/>
  <c r="L85" i="3" a="1"/>
  <c r="L85" i="3" s="1"/>
  <c r="L85" i="7" s="1"/>
  <c r="L101" i="3" a="1"/>
  <c r="L101" i="3" s="1"/>
  <c r="L101" i="7" s="1"/>
  <c r="L110" i="3" a="1"/>
  <c r="L110" i="3" s="1"/>
  <c r="L110" i="7" s="1"/>
  <c r="L120" i="7"/>
  <c r="L128" i="7"/>
  <c r="L94" i="3" a="1"/>
  <c r="L94" i="3" s="1"/>
  <c r="L94" i="7" s="1"/>
  <c r="L102" i="3" a="1"/>
  <c r="L102" i="3" s="1"/>
  <c r="L102" i="7" s="1"/>
  <c r="L111" i="3" a="1"/>
  <c r="L111" i="3" s="1"/>
  <c r="L111" i="7" s="1"/>
  <c r="L121" i="3" a="1"/>
  <c r="L121" i="3" s="1"/>
  <c r="L121" i="7" s="1"/>
  <c r="N2" i="7"/>
  <c r="J11" i="7"/>
  <c r="J22" i="3" a="1"/>
  <c r="J22" i="3" s="1"/>
  <c r="J22" i="7" s="1"/>
  <c r="J12" i="7"/>
  <c r="J23" i="7"/>
  <c r="J32" i="3" a="1"/>
  <c r="J32" i="3" s="1"/>
  <c r="J32" i="7" s="1"/>
  <c r="J44" i="3" a="1"/>
  <c r="J44" i="3" s="1"/>
  <c r="J44" i="7" s="1"/>
  <c r="J62" i="7"/>
  <c r="J68" i="3" a="1"/>
  <c r="J68" i="3" s="1"/>
  <c r="J68" i="7" s="1"/>
  <c r="J13" i="3" a="1"/>
  <c r="J13" i="3" s="1"/>
  <c r="J13" i="7" s="1"/>
  <c r="J33" i="7"/>
  <c r="J45" i="3" a="1"/>
  <c r="J45" i="3" s="1"/>
  <c r="J45" i="7" s="1"/>
  <c r="J63" i="7"/>
  <c r="J69" i="3" a="1"/>
  <c r="J69" i="3" s="1"/>
  <c r="J69" i="7" s="1"/>
  <c r="J14" i="7"/>
  <c r="J24" i="7"/>
  <c r="J34" i="7"/>
  <c r="J39" i="3" a="1"/>
  <c r="J39" i="3" s="1"/>
  <c r="J39" i="7" s="1"/>
  <c r="J46" i="3" a="1"/>
  <c r="J46" i="3" s="1"/>
  <c r="J46" i="7" s="1"/>
  <c r="J54" i="3" a="1"/>
  <c r="J54" i="3" s="1"/>
  <c r="J54" i="7" s="1"/>
  <c r="J70" i="3" a="1"/>
  <c r="J70" i="3" s="1"/>
  <c r="J70" i="7" s="1"/>
  <c r="J3" i="7"/>
  <c r="J35" i="3" a="1"/>
  <c r="J35" i="3" s="1"/>
  <c r="J35" i="7" s="1"/>
  <c r="J47" i="3" a="1"/>
  <c r="J47" i="3" s="1"/>
  <c r="J47" i="7" s="1"/>
  <c r="J55" i="3" a="1"/>
  <c r="J55" i="3" s="1"/>
  <c r="J55" i="7" s="1"/>
  <c r="J71" i="3" a="1"/>
  <c r="J71" i="3" s="1"/>
  <c r="J71" i="7" s="1"/>
  <c r="J4" i="7"/>
  <c r="J15" i="7"/>
  <c r="J25" i="3" a="1"/>
  <c r="J25" i="3" s="1"/>
  <c r="J25" i="7" s="1"/>
  <c r="J40" i="3" a="1"/>
  <c r="J40" i="3" s="1"/>
  <c r="J40" i="7" s="1"/>
  <c r="J48" i="3" a="1"/>
  <c r="J48" i="3" s="1"/>
  <c r="J48" i="7" s="1"/>
  <c r="J56" i="3" a="1"/>
  <c r="J56" i="3" s="1"/>
  <c r="J56" i="7" s="1"/>
  <c r="J72" i="3" a="1"/>
  <c r="J72" i="3" s="1"/>
  <c r="J72" i="7" s="1"/>
  <c r="J5" i="7"/>
  <c r="J16" i="7"/>
  <c r="J26" i="3" a="1"/>
  <c r="J26" i="3" s="1"/>
  <c r="J26" i="7" s="1"/>
  <c r="J36" i="3" a="1"/>
  <c r="J36" i="3" s="1"/>
  <c r="J36" i="7" s="1"/>
  <c r="J57" i="3" a="1"/>
  <c r="J57" i="3" s="1"/>
  <c r="J57" i="7" s="1"/>
  <c r="J64" i="7"/>
  <c r="J6" i="3" a="1"/>
  <c r="J6" i="3" s="1"/>
  <c r="J6" i="7" s="1"/>
  <c r="J17" i="3" a="1"/>
  <c r="J17" i="3" s="1"/>
  <c r="J17" i="7" s="1"/>
  <c r="J27" i="3" a="1"/>
  <c r="J27" i="3" s="1"/>
  <c r="J27" i="7" s="1"/>
  <c r="J41" i="3" a="1"/>
  <c r="J41" i="3" s="1"/>
  <c r="J41" i="7" s="1"/>
  <c r="J49" i="3" a="1"/>
  <c r="J49" i="3" s="1"/>
  <c r="J49" i="7" s="1"/>
  <c r="J58" i="3" a="1"/>
  <c r="J58" i="3" s="1"/>
  <c r="J58" i="7" s="1"/>
  <c r="J7" i="7"/>
  <c r="J18" i="3" a="1"/>
  <c r="J18" i="3" s="1"/>
  <c r="J18" i="7" s="1"/>
  <c r="J28" i="3" a="1"/>
  <c r="J28" i="3" s="1"/>
  <c r="J28" i="7" s="1"/>
  <c r="J37" i="3" a="1"/>
  <c r="J37" i="3" s="1"/>
  <c r="J37" i="7" s="1"/>
  <c r="J59" i="7"/>
  <c r="J65" i="7"/>
  <c r="J8" i="3" a="1"/>
  <c r="J8" i="3" s="1"/>
  <c r="J8" i="7" s="1"/>
  <c r="J19" i="3" a="1"/>
  <c r="J19" i="3" s="1"/>
  <c r="J19" i="7" s="1"/>
  <c r="J29" i="3" a="1"/>
  <c r="J29" i="3" s="1"/>
  <c r="J29" i="7" s="1"/>
  <c r="J42" i="3" a="1"/>
  <c r="J42" i="3" s="1"/>
  <c r="J42" i="7" s="1"/>
  <c r="J50" i="3" a="1"/>
  <c r="J50" i="3" s="1"/>
  <c r="J50" i="7" s="1"/>
  <c r="J60" i="7"/>
  <c r="J66" i="7"/>
  <c r="J75" i="3" a="1"/>
  <c r="J75" i="3" s="1"/>
  <c r="J75" i="7" s="1"/>
  <c r="J9" i="7"/>
  <c r="J20" i="3" a="1"/>
  <c r="J20" i="3" s="1"/>
  <c r="J20" i="7" s="1"/>
  <c r="J78" i="3" a="1"/>
  <c r="J78" i="3" s="1"/>
  <c r="J78" i="7" s="1"/>
  <c r="J97" i="3" a="1"/>
  <c r="J97" i="3" s="1"/>
  <c r="J97" i="7" s="1"/>
  <c r="J114" i="3" a="1"/>
  <c r="J114" i="3" s="1"/>
  <c r="J114" i="7" s="1"/>
  <c r="J125" i="3" a="1"/>
  <c r="J125" i="3" s="1"/>
  <c r="J125" i="7" s="1"/>
  <c r="J31" i="3" a="1"/>
  <c r="J31" i="3" s="1"/>
  <c r="J31" i="7" s="1"/>
  <c r="J53" i="3" a="1"/>
  <c r="J53" i="3" s="1"/>
  <c r="J53" i="7" s="1"/>
  <c r="J77" i="3" a="1"/>
  <c r="J77" i="3" s="1"/>
  <c r="J77" i="7" s="1"/>
  <c r="J79" i="3" a="1"/>
  <c r="J79" i="3" s="1"/>
  <c r="J79" i="7" s="1"/>
  <c r="J80" i="3" a="1"/>
  <c r="J80" i="3" s="1"/>
  <c r="J80" i="7" s="1"/>
  <c r="J88" i="3" a="1"/>
  <c r="J88" i="3" s="1"/>
  <c r="J88" i="7" s="1"/>
  <c r="J98" i="3" a="1"/>
  <c r="J98" i="3" s="1"/>
  <c r="J98" i="7" s="1"/>
  <c r="J106" i="3" a="1"/>
  <c r="J106" i="3" s="1"/>
  <c r="J106" i="7" s="1"/>
  <c r="J115" i="3" a="1"/>
  <c r="J115" i="3" s="1"/>
  <c r="J115" i="7" s="1"/>
  <c r="J76" i="3" a="1"/>
  <c r="J76" i="3" s="1"/>
  <c r="J76" i="7" s="1"/>
  <c r="J89" i="3" a="1"/>
  <c r="J89" i="3" s="1"/>
  <c r="J89" i="7" s="1"/>
  <c r="J116" i="3" a="1"/>
  <c r="J116" i="3" s="1"/>
  <c r="J116" i="7" s="1"/>
  <c r="J10" i="3" a="1"/>
  <c r="J10" i="3" s="1"/>
  <c r="J10" i="7" s="1"/>
  <c r="J21" i="3" a="1"/>
  <c r="J21" i="3" s="1"/>
  <c r="J21" i="7" s="1"/>
  <c r="J61" i="7"/>
  <c r="J67" i="3" a="1"/>
  <c r="J67" i="3" s="1"/>
  <c r="J67" i="7" s="1"/>
  <c r="J73" i="3" a="1"/>
  <c r="J73" i="3" s="1"/>
  <c r="J73" i="7" s="1"/>
  <c r="J81" i="3" a="1"/>
  <c r="J81" i="3" s="1"/>
  <c r="J81" i="7" s="1"/>
  <c r="J90" i="3" a="1"/>
  <c r="J90" i="3" s="1"/>
  <c r="J90" i="7" s="1"/>
  <c r="J99" i="3" a="1"/>
  <c r="J99" i="3" s="1"/>
  <c r="J99" i="7" s="1"/>
  <c r="J107" i="3" a="1"/>
  <c r="J107" i="3" s="1"/>
  <c r="J107" i="7" s="1"/>
  <c r="J126" i="3" a="1"/>
  <c r="J126" i="3" s="1"/>
  <c r="J126" i="7" s="1"/>
  <c r="J82" i="3" a="1"/>
  <c r="J82" i="3" s="1"/>
  <c r="J82" i="7" s="1"/>
  <c r="J91" i="3" a="1"/>
  <c r="J91" i="3" s="1"/>
  <c r="J91" i="7" s="1"/>
  <c r="J108" i="3" a="1"/>
  <c r="J108" i="3" s="1"/>
  <c r="J108" i="7" s="1"/>
  <c r="J117" i="3" a="1"/>
  <c r="J117" i="3" s="1"/>
  <c r="J117" i="7" s="1"/>
  <c r="J135" i="7"/>
  <c r="J51" i="3" a="1"/>
  <c r="J51" i="3" s="1"/>
  <c r="J51" i="7" s="1"/>
  <c r="J83" i="3" a="1"/>
  <c r="J83" i="3" s="1"/>
  <c r="J83" i="7" s="1"/>
  <c r="J92" i="3" a="1"/>
  <c r="J92" i="3" s="1"/>
  <c r="J92" i="7" s="1"/>
  <c r="J100" i="3" a="1"/>
  <c r="J100" i="3" s="1"/>
  <c r="J100" i="7" s="1"/>
  <c r="J118" i="7"/>
  <c r="J127" i="3" a="1"/>
  <c r="J127" i="3" s="1"/>
  <c r="J127" i="7" s="1"/>
  <c r="J84" i="3" a="1"/>
  <c r="J84" i="3" s="1"/>
  <c r="J84" i="7" s="1"/>
  <c r="J93" i="3" a="1"/>
  <c r="J93" i="3" s="1"/>
  <c r="J93" i="7" s="1"/>
  <c r="J109" i="3" a="1"/>
  <c r="J109" i="3" s="1"/>
  <c r="J109" i="7" s="1"/>
  <c r="J119" i="7"/>
  <c r="J38" i="3" a="1"/>
  <c r="J38" i="3" s="1"/>
  <c r="J38" i="7" s="1"/>
  <c r="J43" i="3" a="1"/>
  <c r="J43" i="3" s="1"/>
  <c r="J43" i="7" s="1"/>
  <c r="J85" i="3" a="1"/>
  <c r="J85" i="3" s="1"/>
  <c r="J85" i="7" s="1"/>
  <c r="J94" i="3" a="1"/>
  <c r="J94" i="3" s="1"/>
  <c r="J94" i="7" s="1"/>
  <c r="J101" i="3" a="1"/>
  <c r="J101" i="3" s="1"/>
  <c r="J101" i="7" s="1"/>
  <c r="J110" i="3" a="1"/>
  <c r="J110" i="3" s="1"/>
  <c r="J110" i="7" s="1"/>
  <c r="J120" i="7"/>
  <c r="J128" i="7"/>
  <c r="J102" i="3" a="1"/>
  <c r="J102" i="3" s="1"/>
  <c r="J102" i="7" s="1"/>
  <c r="J111" i="3" a="1"/>
  <c r="J111" i="3" s="1"/>
  <c r="J111" i="7" s="1"/>
  <c r="J121" i="3" a="1"/>
  <c r="J121" i="3" s="1"/>
  <c r="J121" i="7" s="1"/>
  <c r="J129" i="7"/>
  <c r="J52" i="3" a="1"/>
  <c r="J52" i="3" s="1"/>
  <c r="J52" i="7" s="1"/>
  <c r="J103" i="3" a="1"/>
  <c r="J103" i="3" s="1"/>
  <c r="J103" i="7" s="1"/>
  <c r="J112" i="3" a="1"/>
  <c r="J112" i="3" s="1"/>
  <c r="J112" i="7" s="1"/>
  <c r="J122" i="3" a="1"/>
  <c r="J122" i="3" s="1"/>
  <c r="J122" i="7" s="1"/>
  <c r="J130" i="7"/>
  <c r="J30" i="3" a="1"/>
  <c r="J30" i="3" s="1"/>
  <c r="J30" i="7" s="1"/>
  <c r="J74" i="3" a="1"/>
  <c r="J74" i="3" s="1"/>
  <c r="J74" i="7" s="1"/>
  <c r="J86" i="3" a="1"/>
  <c r="J86" i="3" s="1"/>
  <c r="J86" i="7" s="1"/>
  <c r="J95" i="3" a="1"/>
  <c r="J95" i="3" s="1"/>
  <c r="J95" i="7" s="1"/>
  <c r="J104" i="3" a="1"/>
  <c r="J104" i="3" s="1"/>
  <c r="J104" i="7" s="1"/>
  <c r="J113" i="3" a="1"/>
  <c r="J113" i="3" s="1"/>
  <c r="J113" i="7" s="1"/>
  <c r="J123" i="3" a="1"/>
  <c r="J123" i="3" s="1"/>
  <c r="J123" i="7" s="1"/>
  <c r="M2" i="7"/>
  <c r="N140" i="3" a="1"/>
  <c r="N140" i="3" s="1"/>
  <c r="N140" i="7" s="1"/>
  <c r="O139" i="3" a="1"/>
  <c r="O139" i="3" s="1"/>
  <c r="O139" i="7" s="1"/>
  <c r="P138" i="3" a="1"/>
  <c r="P138" i="3" s="1"/>
  <c r="P138" i="7" s="1"/>
  <c r="D138" i="7"/>
  <c r="F136" i="7"/>
  <c r="G135" i="7"/>
  <c r="G133" i="3" a="1"/>
  <c r="G133" i="3" s="1"/>
  <c r="G133" i="7" s="1"/>
  <c r="L112" i="3" a="1"/>
  <c r="L112" i="3" s="1"/>
  <c r="L112" i="7" s="1"/>
  <c r="M102" i="3" a="1"/>
  <c r="M102" i="3" s="1"/>
  <c r="M102" i="7" s="1"/>
  <c r="P92" i="3" a="1"/>
  <c r="P92" i="3" s="1"/>
  <c r="P92" i="7" s="1"/>
  <c r="E82" i="3" a="1"/>
  <c r="E82" i="3" s="1"/>
  <c r="E82" i="7" s="1"/>
  <c r="O2" i="7"/>
  <c r="K10" i="3" a="1"/>
  <c r="K10" i="3" s="1"/>
  <c r="K10" i="7" s="1"/>
  <c r="K21" i="3" a="1"/>
  <c r="K21" i="3" s="1"/>
  <c r="K21" i="7" s="1"/>
  <c r="K31" i="3" a="1"/>
  <c r="K31" i="3" s="1"/>
  <c r="K31" i="7" s="1"/>
  <c r="K38" i="3" a="1"/>
  <c r="K38" i="3" s="1"/>
  <c r="K38" i="7" s="1"/>
  <c r="K43" i="3" a="1"/>
  <c r="K43" i="3" s="1"/>
  <c r="K43" i="7" s="1"/>
  <c r="K11" i="7"/>
  <c r="K22" i="3" a="1"/>
  <c r="K22" i="3" s="1"/>
  <c r="K22" i="7" s="1"/>
  <c r="K53" i="3" a="1"/>
  <c r="K53" i="3" s="1"/>
  <c r="K53" i="7" s="1"/>
  <c r="K78" i="3" a="1"/>
  <c r="K78" i="3" s="1"/>
  <c r="K78" i="7" s="1"/>
  <c r="K12" i="7"/>
  <c r="K23" i="7"/>
  <c r="K32" i="3" a="1"/>
  <c r="K32" i="3" s="1"/>
  <c r="K32" i="7" s="1"/>
  <c r="K44" i="3" a="1"/>
  <c r="K44" i="3" s="1"/>
  <c r="K44" i="7" s="1"/>
  <c r="K62" i="7"/>
  <c r="K68" i="3" a="1"/>
  <c r="K68" i="3" s="1"/>
  <c r="K68" i="7" s="1"/>
  <c r="K13" i="3" a="1"/>
  <c r="K13" i="3" s="1"/>
  <c r="K13" i="7" s="1"/>
  <c r="K33" i="7"/>
  <c r="K45" i="3" a="1"/>
  <c r="K45" i="3" s="1"/>
  <c r="K45" i="7" s="1"/>
  <c r="K63" i="7"/>
  <c r="K69" i="3" a="1"/>
  <c r="K69" i="3" s="1"/>
  <c r="K69" i="7" s="1"/>
  <c r="K14" i="7"/>
  <c r="K24" i="7"/>
  <c r="K34" i="7"/>
  <c r="K39" i="3" a="1"/>
  <c r="K39" i="3" s="1"/>
  <c r="K39" i="7" s="1"/>
  <c r="K46" i="3" a="1"/>
  <c r="K46" i="3" s="1"/>
  <c r="K46" i="7" s="1"/>
  <c r="K54" i="3" a="1"/>
  <c r="K54" i="3" s="1"/>
  <c r="K54" i="7" s="1"/>
  <c r="K70" i="3" a="1"/>
  <c r="K70" i="3" s="1"/>
  <c r="K70" i="7" s="1"/>
  <c r="K79" i="3" a="1"/>
  <c r="K79" i="3" s="1"/>
  <c r="K79" i="7" s="1"/>
  <c r="K3" i="7"/>
  <c r="K35" i="3" a="1"/>
  <c r="K35" i="3" s="1"/>
  <c r="K35" i="7" s="1"/>
  <c r="K47" i="3" a="1"/>
  <c r="K47" i="3" s="1"/>
  <c r="K47" i="7" s="1"/>
  <c r="K55" i="3" a="1"/>
  <c r="K55" i="3" s="1"/>
  <c r="K55" i="7" s="1"/>
  <c r="K71" i="3" a="1"/>
  <c r="K71" i="3" s="1"/>
  <c r="K71" i="7" s="1"/>
  <c r="K4" i="7"/>
  <c r="K15" i="7"/>
  <c r="K25" i="3" a="1"/>
  <c r="K25" i="3" s="1"/>
  <c r="K25" i="7" s="1"/>
  <c r="K40" i="3" a="1"/>
  <c r="K40" i="3" s="1"/>
  <c r="K40" i="7" s="1"/>
  <c r="K48" i="3" a="1"/>
  <c r="K48" i="3" s="1"/>
  <c r="K48" i="7" s="1"/>
  <c r="K56" i="3" a="1"/>
  <c r="K56" i="3" s="1"/>
  <c r="K56" i="7" s="1"/>
  <c r="K5" i="7"/>
  <c r="K16" i="7"/>
  <c r="K26" i="3" a="1"/>
  <c r="K26" i="3" s="1"/>
  <c r="K26" i="7" s="1"/>
  <c r="K36" i="3" a="1"/>
  <c r="K36" i="3" s="1"/>
  <c r="K36" i="7" s="1"/>
  <c r="K57" i="3" a="1"/>
  <c r="K57" i="3" s="1"/>
  <c r="K57" i="7" s="1"/>
  <c r="K64" i="7"/>
  <c r="K73" i="3" a="1"/>
  <c r="K73" i="3" s="1"/>
  <c r="K73" i="7" s="1"/>
  <c r="K6" i="3" a="1"/>
  <c r="K6" i="3" s="1"/>
  <c r="K6" i="7" s="1"/>
  <c r="K17" i="3" a="1"/>
  <c r="K17" i="3" s="1"/>
  <c r="K17" i="7" s="1"/>
  <c r="K27" i="3" a="1"/>
  <c r="K27" i="3" s="1"/>
  <c r="K27" i="7" s="1"/>
  <c r="K41" i="3" a="1"/>
  <c r="K41" i="3" s="1"/>
  <c r="K41" i="7" s="1"/>
  <c r="K49" i="3" a="1"/>
  <c r="K49" i="3" s="1"/>
  <c r="K49" i="7" s="1"/>
  <c r="K58" i="3" a="1"/>
  <c r="K58" i="3" s="1"/>
  <c r="K58" i="7" s="1"/>
  <c r="K7" i="7"/>
  <c r="K18" i="3" a="1"/>
  <c r="K18" i="3" s="1"/>
  <c r="K18" i="7" s="1"/>
  <c r="K28" i="3" a="1"/>
  <c r="K28" i="3" s="1"/>
  <c r="K28" i="7" s="1"/>
  <c r="K59" i="7"/>
  <c r="K65" i="7"/>
  <c r="K74" i="3" a="1"/>
  <c r="K74" i="3" s="1"/>
  <c r="K74" i="7" s="1"/>
  <c r="K60" i="7"/>
  <c r="K96" i="3" a="1"/>
  <c r="K96" i="3" s="1"/>
  <c r="K96" i="7" s="1"/>
  <c r="K105" i="3" a="1"/>
  <c r="K105" i="3" s="1"/>
  <c r="K105" i="7" s="1"/>
  <c r="K124" i="3" a="1"/>
  <c r="K124" i="3" s="1"/>
  <c r="K124" i="7" s="1"/>
  <c r="K9" i="7"/>
  <c r="K20" i="3" a="1"/>
  <c r="K20" i="3" s="1"/>
  <c r="K20" i="7" s="1"/>
  <c r="K87" i="3" a="1"/>
  <c r="K87" i="3" s="1"/>
  <c r="K87" i="7" s="1"/>
  <c r="K97" i="3" a="1"/>
  <c r="K97" i="3" s="1"/>
  <c r="K97" i="7" s="1"/>
  <c r="K114" i="3" a="1"/>
  <c r="K114" i="3" s="1"/>
  <c r="K114" i="7" s="1"/>
  <c r="K125" i="3" a="1"/>
  <c r="K125" i="3" s="1"/>
  <c r="K125" i="7" s="1"/>
  <c r="K132" i="7"/>
  <c r="K50" i="3" a="1"/>
  <c r="K50" i="3" s="1"/>
  <c r="K50" i="7" s="1"/>
  <c r="K77" i="3" a="1"/>
  <c r="K77" i="3" s="1"/>
  <c r="K77" i="7" s="1"/>
  <c r="K80" i="3" a="1"/>
  <c r="K80" i="3" s="1"/>
  <c r="K80" i="7" s="1"/>
  <c r="K88" i="3" a="1"/>
  <c r="K88" i="3" s="1"/>
  <c r="K88" i="7" s="1"/>
  <c r="K98" i="3" a="1"/>
  <c r="K98" i="3" s="1"/>
  <c r="K98" i="7" s="1"/>
  <c r="K106" i="3" a="1"/>
  <c r="K106" i="3" s="1"/>
  <c r="K106" i="7" s="1"/>
  <c r="K115" i="3" a="1"/>
  <c r="K115" i="3" s="1"/>
  <c r="K115" i="7" s="1"/>
  <c r="K37" i="3" a="1"/>
  <c r="K37" i="3" s="1"/>
  <c r="K37" i="7" s="1"/>
  <c r="K76" i="3" a="1"/>
  <c r="K76" i="3" s="1"/>
  <c r="K76" i="7" s="1"/>
  <c r="K89" i="3" a="1"/>
  <c r="K89" i="3" s="1"/>
  <c r="K89" i="7" s="1"/>
  <c r="K116" i="3" a="1"/>
  <c r="K116" i="3" s="1"/>
  <c r="K116" i="7" s="1"/>
  <c r="K42" i="3" a="1"/>
  <c r="K42" i="3" s="1"/>
  <c r="K42" i="7" s="1"/>
  <c r="K61" i="7"/>
  <c r="K67" i="3" a="1"/>
  <c r="K67" i="3" s="1"/>
  <c r="K67" i="7" s="1"/>
  <c r="K81" i="3" a="1"/>
  <c r="K81" i="3" s="1"/>
  <c r="K81" i="7" s="1"/>
  <c r="K90" i="3" a="1"/>
  <c r="K90" i="3" s="1"/>
  <c r="K90" i="7" s="1"/>
  <c r="K99" i="3" a="1"/>
  <c r="K99" i="3" s="1"/>
  <c r="K99" i="7" s="1"/>
  <c r="K107" i="3" a="1"/>
  <c r="K107" i="3" s="1"/>
  <c r="K107" i="7" s="1"/>
  <c r="K126" i="3" a="1"/>
  <c r="K126" i="3" s="1"/>
  <c r="K126" i="7" s="1"/>
  <c r="K134" i="7"/>
  <c r="K82" i="3" a="1"/>
  <c r="K82" i="3" s="1"/>
  <c r="K82" i="7" s="1"/>
  <c r="K91" i="3" a="1"/>
  <c r="K91" i="3" s="1"/>
  <c r="K91" i="7" s="1"/>
  <c r="K117" i="3" a="1"/>
  <c r="K117" i="3" s="1"/>
  <c r="K117" i="7" s="1"/>
  <c r="K51" i="3" a="1"/>
  <c r="K51" i="3" s="1"/>
  <c r="K51" i="7" s="1"/>
  <c r="K75" i="3" a="1"/>
  <c r="K75" i="3" s="1"/>
  <c r="K75" i="7" s="1"/>
  <c r="K83" i="3" a="1"/>
  <c r="K83" i="3" s="1"/>
  <c r="K83" i="7" s="1"/>
  <c r="K92" i="3" a="1"/>
  <c r="K92" i="3" s="1"/>
  <c r="K92" i="7" s="1"/>
  <c r="K100" i="3" a="1"/>
  <c r="K100" i="3" s="1"/>
  <c r="K100" i="7" s="1"/>
  <c r="K108" i="3" a="1"/>
  <c r="K108" i="3" s="1"/>
  <c r="K108" i="7" s="1"/>
  <c r="K118" i="7"/>
  <c r="K127" i="3" a="1"/>
  <c r="K127" i="3" s="1"/>
  <c r="K127" i="7" s="1"/>
  <c r="K84" i="3" a="1"/>
  <c r="K84" i="3" s="1"/>
  <c r="K84" i="7" s="1"/>
  <c r="K93" i="3" a="1"/>
  <c r="K93" i="3" s="1"/>
  <c r="K93" i="7" s="1"/>
  <c r="K109" i="3" a="1"/>
  <c r="K109" i="3" s="1"/>
  <c r="K109" i="7" s="1"/>
  <c r="K119" i="7"/>
  <c r="K29" i="3" a="1"/>
  <c r="K29" i="3" s="1"/>
  <c r="K29" i="7" s="1"/>
  <c r="K85" i="3" a="1"/>
  <c r="K85" i="3" s="1"/>
  <c r="K85" i="7" s="1"/>
  <c r="K101" i="3" a="1"/>
  <c r="K101" i="3" s="1"/>
  <c r="K101" i="7" s="1"/>
  <c r="K110" i="3" a="1"/>
  <c r="K110" i="3" s="1"/>
  <c r="K110" i="7" s="1"/>
  <c r="K120" i="7"/>
  <c r="K128" i="7"/>
  <c r="K72" i="3" a="1"/>
  <c r="K72" i="3" s="1"/>
  <c r="K72" i="7" s="1"/>
  <c r="K94" i="3" a="1"/>
  <c r="K94" i="3" s="1"/>
  <c r="K94" i="7" s="1"/>
  <c r="K102" i="3" a="1"/>
  <c r="K102" i="3" s="1"/>
  <c r="K102" i="7" s="1"/>
  <c r="K111" i="3" a="1"/>
  <c r="K111" i="3" s="1"/>
  <c r="K111" i="7" s="1"/>
  <c r="K121" i="3" a="1"/>
  <c r="K121" i="3" s="1"/>
  <c r="K121" i="7" s="1"/>
  <c r="K129" i="7"/>
  <c r="K8" i="3" a="1"/>
  <c r="K8" i="3" s="1"/>
  <c r="K8" i="7" s="1"/>
  <c r="K19" i="3" a="1"/>
  <c r="K19" i="3" s="1"/>
  <c r="K19" i="7" s="1"/>
  <c r="K52" i="3" a="1"/>
  <c r="K52" i="3" s="1"/>
  <c r="K52" i="7" s="1"/>
  <c r="K103" i="3" a="1"/>
  <c r="K103" i="3" s="1"/>
  <c r="K103" i="7" s="1"/>
  <c r="K112" i="3" a="1"/>
  <c r="K112" i="3" s="1"/>
  <c r="K112" i="7" s="1"/>
  <c r="K122" i="3" a="1"/>
  <c r="K122" i="3" s="1"/>
  <c r="K122" i="7" s="1"/>
  <c r="I12" i="7"/>
  <c r="I23" i="7"/>
  <c r="I32" i="3" a="1"/>
  <c r="I32" i="3" s="1"/>
  <c r="I32" i="7" s="1"/>
  <c r="I44" i="3" a="1"/>
  <c r="I44" i="3" s="1"/>
  <c r="I44" i="7" s="1"/>
  <c r="I13" i="3" a="1"/>
  <c r="I13" i="3" s="1"/>
  <c r="I13" i="7" s="1"/>
  <c r="I33" i="7"/>
  <c r="I45" i="3" a="1"/>
  <c r="I45" i="3" s="1"/>
  <c r="I45" i="7" s="1"/>
  <c r="I63" i="7"/>
  <c r="I69" i="3" a="1"/>
  <c r="I69" i="3" s="1"/>
  <c r="I69" i="7" s="1"/>
  <c r="I14" i="7"/>
  <c r="I24" i="7"/>
  <c r="I34" i="7"/>
  <c r="I39" i="3" a="1"/>
  <c r="I39" i="3" s="1"/>
  <c r="I39" i="7" s="1"/>
  <c r="I46" i="3" a="1"/>
  <c r="I46" i="3" s="1"/>
  <c r="I46" i="7" s="1"/>
  <c r="I54" i="3" a="1"/>
  <c r="I54" i="3" s="1"/>
  <c r="I54" i="7" s="1"/>
  <c r="I70" i="3" a="1"/>
  <c r="I70" i="3" s="1"/>
  <c r="I70" i="7" s="1"/>
  <c r="I3" i="7"/>
  <c r="I35" i="3" a="1"/>
  <c r="I35" i="3" s="1"/>
  <c r="I35" i="7" s="1"/>
  <c r="I47" i="3" a="1"/>
  <c r="I47" i="3" s="1"/>
  <c r="I47" i="7" s="1"/>
  <c r="I55" i="3" a="1"/>
  <c r="I55" i="3" s="1"/>
  <c r="I55" i="7" s="1"/>
  <c r="I71" i="3" a="1"/>
  <c r="I71" i="3" s="1"/>
  <c r="I71" i="7" s="1"/>
  <c r="I4" i="7"/>
  <c r="I15" i="7"/>
  <c r="I25" i="3" a="1"/>
  <c r="I25" i="3" s="1"/>
  <c r="I25" i="7" s="1"/>
  <c r="I40" i="3" a="1"/>
  <c r="I40" i="3" s="1"/>
  <c r="I40" i="7" s="1"/>
  <c r="I48" i="3" a="1"/>
  <c r="I48" i="3" s="1"/>
  <c r="I48" i="7" s="1"/>
  <c r="I56" i="3" a="1"/>
  <c r="I56" i="3" s="1"/>
  <c r="I56" i="7" s="1"/>
  <c r="I72" i="3" a="1"/>
  <c r="I72" i="3" s="1"/>
  <c r="I72" i="7" s="1"/>
  <c r="I5" i="7"/>
  <c r="I16" i="7"/>
  <c r="I26" i="3" a="1"/>
  <c r="I26" i="3" s="1"/>
  <c r="I26" i="7" s="1"/>
  <c r="I36" i="3" a="1"/>
  <c r="I36" i="3" s="1"/>
  <c r="I36" i="7" s="1"/>
  <c r="I57" i="3" a="1"/>
  <c r="I57" i="3" s="1"/>
  <c r="I57" i="7" s="1"/>
  <c r="I64" i="7"/>
  <c r="I73" i="3" a="1"/>
  <c r="I73" i="3" s="1"/>
  <c r="I73" i="7" s="1"/>
  <c r="I6" i="3" a="1"/>
  <c r="I6" i="3" s="1"/>
  <c r="I6" i="7" s="1"/>
  <c r="I17" i="3" a="1"/>
  <c r="I17" i="3" s="1"/>
  <c r="I17" i="7" s="1"/>
  <c r="I27" i="3" a="1"/>
  <c r="I27" i="3" s="1"/>
  <c r="I27" i="7" s="1"/>
  <c r="I41" i="3" a="1"/>
  <c r="I41" i="3" s="1"/>
  <c r="I41" i="7" s="1"/>
  <c r="I49" i="3" a="1"/>
  <c r="I49" i="3" s="1"/>
  <c r="I49" i="7" s="1"/>
  <c r="I58" i="3" a="1"/>
  <c r="I58" i="3" s="1"/>
  <c r="I58" i="7" s="1"/>
  <c r="I7" i="7"/>
  <c r="I18" i="3" a="1"/>
  <c r="I18" i="3" s="1"/>
  <c r="I18" i="7" s="1"/>
  <c r="I28" i="3" a="1"/>
  <c r="I28" i="3" s="1"/>
  <c r="I28" i="7" s="1"/>
  <c r="I37" i="3" a="1"/>
  <c r="I37" i="3" s="1"/>
  <c r="I37" i="7" s="1"/>
  <c r="I50" i="3" a="1"/>
  <c r="I50" i="3" s="1"/>
  <c r="I50" i="7" s="1"/>
  <c r="I59" i="7"/>
  <c r="I65" i="7"/>
  <c r="I74" i="3" a="1"/>
  <c r="I74" i="3" s="1"/>
  <c r="I74" i="7" s="1"/>
  <c r="I8" i="3" a="1"/>
  <c r="I8" i="3" s="1"/>
  <c r="I8" i="7" s="1"/>
  <c r="I19" i="3" a="1"/>
  <c r="I19" i="3" s="1"/>
  <c r="I19" i="7" s="1"/>
  <c r="I29" i="3" a="1"/>
  <c r="I29" i="3" s="1"/>
  <c r="I29" i="7" s="1"/>
  <c r="I42" i="3" a="1"/>
  <c r="I42" i="3" s="1"/>
  <c r="I42" i="7" s="1"/>
  <c r="I60" i="7"/>
  <c r="I66" i="7"/>
  <c r="I9" i="7"/>
  <c r="I20" i="3" a="1"/>
  <c r="I20" i="3" s="1"/>
  <c r="I20" i="7" s="1"/>
  <c r="I30" i="3" a="1"/>
  <c r="I30" i="3" s="1"/>
  <c r="I30" i="7" s="1"/>
  <c r="I51" i="3" a="1"/>
  <c r="I51" i="3" s="1"/>
  <c r="I51" i="7" s="1"/>
  <c r="I61" i="7"/>
  <c r="I31" i="3" a="1"/>
  <c r="I31" i="3" s="1"/>
  <c r="I31" i="7" s="1"/>
  <c r="I53" i="3" a="1"/>
  <c r="I53" i="3" s="1"/>
  <c r="I53" i="7" s="1"/>
  <c r="I77" i="3" a="1"/>
  <c r="I77" i="3" s="1"/>
  <c r="I77" i="7" s="1"/>
  <c r="I79" i="3" a="1"/>
  <c r="I79" i="3" s="1"/>
  <c r="I79" i="7" s="1"/>
  <c r="I80" i="3" a="1"/>
  <c r="I80" i="3" s="1"/>
  <c r="I80" i="7" s="1"/>
  <c r="I88" i="3" a="1"/>
  <c r="I88" i="3" s="1"/>
  <c r="I88" i="7" s="1"/>
  <c r="I98" i="3" a="1"/>
  <c r="I98" i="3" s="1"/>
  <c r="I98" i="7" s="1"/>
  <c r="I106" i="3" a="1"/>
  <c r="I106" i="3" s="1"/>
  <c r="I106" i="7" s="1"/>
  <c r="I115" i="3" a="1"/>
  <c r="I115" i="3" s="1"/>
  <c r="I115" i="7" s="1"/>
  <c r="I76" i="3" a="1"/>
  <c r="I76" i="3" s="1"/>
  <c r="I76" i="7" s="1"/>
  <c r="I89" i="3" a="1"/>
  <c r="I89" i="3" s="1"/>
  <c r="I89" i="7" s="1"/>
  <c r="I116" i="3" a="1"/>
  <c r="I116" i="3" s="1"/>
  <c r="I116" i="7" s="1"/>
  <c r="I10" i="3" a="1"/>
  <c r="I10" i="3" s="1"/>
  <c r="I10" i="7" s="1"/>
  <c r="I21" i="3" a="1"/>
  <c r="I21" i="3" s="1"/>
  <c r="I21" i="7" s="1"/>
  <c r="I67" i="3" a="1"/>
  <c r="I67" i="3" s="1"/>
  <c r="I67" i="7" s="1"/>
  <c r="I81" i="3" a="1"/>
  <c r="I81" i="3" s="1"/>
  <c r="I81" i="7" s="1"/>
  <c r="I90" i="3" a="1"/>
  <c r="I90" i="3" s="1"/>
  <c r="I90" i="7" s="1"/>
  <c r="I99" i="3" a="1"/>
  <c r="I99" i="3" s="1"/>
  <c r="I99" i="7" s="1"/>
  <c r="I107" i="3" a="1"/>
  <c r="I107" i="3" s="1"/>
  <c r="I107" i="7" s="1"/>
  <c r="I126" i="3" a="1"/>
  <c r="I126" i="3" s="1"/>
  <c r="I126" i="7" s="1"/>
  <c r="I82" i="3" a="1"/>
  <c r="I82" i="3" s="1"/>
  <c r="I82" i="7" s="1"/>
  <c r="I91" i="3" a="1"/>
  <c r="I91" i="3" s="1"/>
  <c r="I91" i="7" s="1"/>
  <c r="I108" i="3" a="1"/>
  <c r="I108" i="3" s="1"/>
  <c r="I108" i="7" s="1"/>
  <c r="I117" i="3" a="1"/>
  <c r="I117" i="3" s="1"/>
  <c r="I117" i="7" s="1"/>
  <c r="I83" i="3" a="1"/>
  <c r="I83" i="3" s="1"/>
  <c r="I83" i="7" s="1"/>
  <c r="I92" i="3" a="1"/>
  <c r="I92" i="3" s="1"/>
  <c r="I92" i="7" s="1"/>
  <c r="I100" i="3" a="1"/>
  <c r="I100" i="3" s="1"/>
  <c r="I100" i="7" s="1"/>
  <c r="I118" i="7"/>
  <c r="I127" i="3" a="1"/>
  <c r="I127" i="3" s="1"/>
  <c r="I127" i="7" s="1"/>
  <c r="I11" i="7"/>
  <c r="I22" i="3" a="1"/>
  <c r="I22" i="3" s="1"/>
  <c r="I22" i="7" s="1"/>
  <c r="I75" i="3" a="1"/>
  <c r="I75" i="3" s="1"/>
  <c r="I75" i="7" s="1"/>
  <c r="I84" i="3" a="1"/>
  <c r="I84" i="3" s="1"/>
  <c r="I84" i="7" s="1"/>
  <c r="I93" i="3" a="1"/>
  <c r="I93" i="3" s="1"/>
  <c r="I93" i="7" s="1"/>
  <c r="I109" i="3" a="1"/>
  <c r="I109" i="3" s="1"/>
  <c r="I109" i="7" s="1"/>
  <c r="I119" i="7"/>
  <c r="I38" i="3" a="1"/>
  <c r="I38" i="3" s="1"/>
  <c r="I38" i="7" s="1"/>
  <c r="I43" i="3" a="1"/>
  <c r="I43" i="3" s="1"/>
  <c r="I43" i="7" s="1"/>
  <c r="I85" i="3" a="1"/>
  <c r="I85" i="3" s="1"/>
  <c r="I85" i="7" s="1"/>
  <c r="I94" i="3" a="1"/>
  <c r="I94" i="3" s="1"/>
  <c r="I94" i="7" s="1"/>
  <c r="I101" i="3" a="1"/>
  <c r="I101" i="3" s="1"/>
  <c r="I101" i="7" s="1"/>
  <c r="I110" i="3" a="1"/>
  <c r="I110" i="3" s="1"/>
  <c r="I110" i="7" s="1"/>
  <c r="I120" i="7"/>
  <c r="I128" i="7"/>
  <c r="I102" i="3" a="1"/>
  <c r="I102" i="3" s="1"/>
  <c r="I102" i="7" s="1"/>
  <c r="I111" i="3" a="1"/>
  <c r="I111" i="3" s="1"/>
  <c r="I111" i="7" s="1"/>
  <c r="I121" i="3" a="1"/>
  <c r="I121" i="3" s="1"/>
  <c r="I121" i="7" s="1"/>
  <c r="I129" i="7"/>
  <c r="I52" i="3" a="1"/>
  <c r="I52" i="3" s="1"/>
  <c r="I52" i="7" s="1"/>
  <c r="I68" i="3" a="1"/>
  <c r="I68" i="3" s="1"/>
  <c r="I68" i="7" s="1"/>
  <c r="I103" i="3" a="1"/>
  <c r="I103" i="3" s="1"/>
  <c r="I103" i="7" s="1"/>
  <c r="I112" i="3" a="1"/>
  <c r="I112" i="3" s="1"/>
  <c r="I112" i="7" s="1"/>
  <c r="I122" i="3" a="1"/>
  <c r="I122" i="3" s="1"/>
  <c r="I122" i="7" s="1"/>
  <c r="I130" i="7"/>
  <c r="I62" i="7"/>
  <c r="I86" i="3" a="1"/>
  <c r="I86" i="3" s="1"/>
  <c r="I86" i="7" s="1"/>
  <c r="I95" i="3" a="1"/>
  <c r="I95" i="3" s="1"/>
  <c r="I95" i="7" s="1"/>
  <c r="I104" i="3" a="1"/>
  <c r="I104" i="3" s="1"/>
  <c r="I104" i="7" s="1"/>
  <c r="I113" i="3" a="1"/>
  <c r="I113" i="3" s="1"/>
  <c r="I113" i="7" s="1"/>
  <c r="I123" i="3" a="1"/>
  <c r="I123" i="3" s="1"/>
  <c r="I123" i="7" s="1"/>
  <c r="I87" i="3" a="1"/>
  <c r="I87" i="3" s="1"/>
  <c r="I87" i="7" s="1"/>
  <c r="I96" i="3" a="1"/>
  <c r="I96" i="3" s="1"/>
  <c r="I96" i="7" s="1"/>
  <c r="I105" i="3" a="1"/>
  <c r="I105" i="3" s="1"/>
  <c r="I105" i="7" s="1"/>
  <c r="I124" i="3" a="1"/>
  <c r="I124" i="3" s="1"/>
  <c r="I124" i="7" s="1"/>
  <c r="L2" i="7"/>
  <c r="N139" i="3" a="1"/>
  <c r="N139" i="3" s="1"/>
  <c r="N139" i="7" s="1"/>
  <c r="O138" i="3" a="1"/>
  <c r="O138" i="3" s="1"/>
  <c r="O138" i="7" s="1"/>
  <c r="P137" i="3" a="1"/>
  <c r="P137" i="3" s="1"/>
  <c r="P137" i="7" s="1"/>
  <c r="E137" i="3" a="1"/>
  <c r="E137" i="3" s="1"/>
  <c r="E137" i="7" s="1"/>
  <c r="E136" i="7"/>
  <c r="F135" i="7"/>
  <c r="G134" i="7"/>
  <c r="F133" i="3" a="1"/>
  <c r="F133" i="3" s="1"/>
  <c r="F133" i="7" s="1"/>
  <c r="K130" i="7"/>
  <c r="L122" i="3" a="1"/>
  <c r="L122" i="3" s="1"/>
  <c r="L122" i="7" s="1"/>
  <c r="M111" i="3" a="1"/>
  <c r="M111" i="3" s="1"/>
  <c r="M111" i="7" s="1"/>
  <c r="N101" i="3" a="1"/>
  <c r="N101" i="3" s="1"/>
  <c r="N101" i="7" s="1"/>
  <c r="D92" i="7"/>
  <c r="F81" i="3" a="1"/>
  <c r="F81" i="3" s="1"/>
  <c r="F81" i="7" s="1"/>
  <c r="G63" i="7"/>
  <c r="O35" i="3" a="1"/>
  <c r="O35" i="3" s="1"/>
  <c r="O35" i="7" s="1"/>
  <c r="M140" i="3" a="1"/>
  <c r="M140" i="3" s="1"/>
  <c r="M140" i="7" s="1"/>
  <c r="H13" i="3" a="1"/>
  <c r="H13" i="3" s="1"/>
  <c r="H13" i="7" s="1"/>
  <c r="H33" i="7"/>
  <c r="H45" i="3" a="1"/>
  <c r="H45" i="3" s="1"/>
  <c r="H45" i="7" s="1"/>
  <c r="H14" i="7"/>
  <c r="H24" i="7"/>
  <c r="H34" i="7"/>
  <c r="H39" i="3" a="1"/>
  <c r="H39" i="3" s="1"/>
  <c r="H39" i="7" s="1"/>
  <c r="H46" i="3" a="1"/>
  <c r="H46" i="3" s="1"/>
  <c r="H46" i="7" s="1"/>
  <c r="H54" i="3" a="1"/>
  <c r="H54" i="3" s="1"/>
  <c r="H54" i="7" s="1"/>
  <c r="H70" i="3" a="1"/>
  <c r="H70" i="3" s="1"/>
  <c r="H70" i="7" s="1"/>
  <c r="H3" i="7"/>
  <c r="H35" i="3" a="1"/>
  <c r="H35" i="3" s="1"/>
  <c r="H35" i="7" s="1"/>
  <c r="H47" i="3" a="1"/>
  <c r="H47" i="3" s="1"/>
  <c r="H47" i="7" s="1"/>
  <c r="H55" i="3" a="1"/>
  <c r="H55" i="3" s="1"/>
  <c r="H55" i="7" s="1"/>
  <c r="H71" i="3" a="1"/>
  <c r="H71" i="3" s="1"/>
  <c r="H71" i="7" s="1"/>
  <c r="H4" i="7"/>
  <c r="H15" i="7"/>
  <c r="H25" i="3" a="1"/>
  <c r="H25" i="3" s="1"/>
  <c r="H25" i="7" s="1"/>
  <c r="H40" i="3" a="1"/>
  <c r="H40" i="3" s="1"/>
  <c r="H40" i="7" s="1"/>
  <c r="H48" i="3" a="1"/>
  <c r="H48" i="3" s="1"/>
  <c r="H48" i="7" s="1"/>
  <c r="H56" i="3" a="1"/>
  <c r="H56" i="3" s="1"/>
  <c r="H56" i="7" s="1"/>
  <c r="H72" i="3" a="1"/>
  <c r="H72" i="3" s="1"/>
  <c r="H72" i="7" s="1"/>
  <c r="H5" i="7"/>
  <c r="H16" i="7"/>
  <c r="H26" i="3" a="1"/>
  <c r="H26" i="3" s="1"/>
  <c r="H26" i="7" s="1"/>
  <c r="H36" i="3" a="1"/>
  <c r="H36" i="3" s="1"/>
  <c r="H36" i="7" s="1"/>
  <c r="H57" i="3" a="1"/>
  <c r="H57" i="3" s="1"/>
  <c r="H57" i="7" s="1"/>
  <c r="H64" i="7"/>
  <c r="H73" i="3" a="1"/>
  <c r="H73" i="3" s="1"/>
  <c r="H73" i="7" s="1"/>
  <c r="H6" i="3" a="1"/>
  <c r="H6" i="3" s="1"/>
  <c r="H6" i="7" s="1"/>
  <c r="H17" i="3" a="1"/>
  <c r="H17" i="3" s="1"/>
  <c r="H17" i="7" s="1"/>
  <c r="H27" i="3" a="1"/>
  <c r="H27" i="3" s="1"/>
  <c r="H27" i="7" s="1"/>
  <c r="H41" i="3" a="1"/>
  <c r="H41" i="3" s="1"/>
  <c r="H41" i="7" s="1"/>
  <c r="H49" i="3" a="1"/>
  <c r="H49" i="3" s="1"/>
  <c r="H49" i="7" s="1"/>
  <c r="H58" i="3" a="1"/>
  <c r="H58" i="3" s="1"/>
  <c r="H58" i="7" s="1"/>
  <c r="H7" i="7"/>
  <c r="H18" i="3" a="1"/>
  <c r="H18" i="3" s="1"/>
  <c r="H18" i="7" s="1"/>
  <c r="H28" i="3" a="1"/>
  <c r="H28" i="3" s="1"/>
  <c r="H28" i="7" s="1"/>
  <c r="H37" i="3" a="1"/>
  <c r="H37" i="3" s="1"/>
  <c r="H37" i="7" s="1"/>
  <c r="H50" i="3" a="1"/>
  <c r="H50" i="3" s="1"/>
  <c r="H50" i="7" s="1"/>
  <c r="H59" i="7"/>
  <c r="H65" i="7"/>
  <c r="H8" i="3" a="1"/>
  <c r="H8" i="3" s="1"/>
  <c r="H8" i="7" s="1"/>
  <c r="H19" i="3" a="1"/>
  <c r="H19" i="3" s="1"/>
  <c r="H19" i="7" s="1"/>
  <c r="H29" i="3" a="1"/>
  <c r="H29" i="3" s="1"/>
  <c r="H29" i="7" s="1"/>
  <c r="H42" i="3" a="1"/>
  <c r="H42" i="3" s="1"/>
  <c r="H42" i="7" s="1"/>
  <c r="H60" i="7"/>
  <c r="H66" i="7"/>
  <c r="H75" i="3" a="1"/>
  <c r="H75" i="3" s="1"/>
  <c r="H75" i="7" s="1"/>
  <c r="H9" i="7"/>
  <c r="H20" i="3" a="1"/>
  <c r="H20" i="3" s="1"/>
  <c r="H20" i="7" s="1"/>
  <c r="H30" i="3" a="1"/>
  <c r="H30" i="3" s="1"/>
  <c r="H30" i="7" s="1"/>
  <c r="H43" i="3" a="1"/>
  <c r="H43" i="3" s="1"/>
  <c r="H43" i="7" s="1"/>
  <c r="H51" i="3" a="1"/>
  <c r="H51" i="3" s="1"/>
  <c r="H51" i="7" s="1"/>
  <c r="H61" i="7"/>
  <c r="H10" i="3" a="1"/>
  <c r="H10" i="3" s="1"/>
  <c r="H10" i="7" s="1"/>
  <c r="H21" i="3" a="1"/>
  <c r="H21" i="3" s="1"/>
  <c r="H21" i="7" s="1"/>
  <c r="H31" i="3" a="1"/>
  <c r="H31" i="3" s="1"/>
  <c r="H31" i="7" s="1"/>
  <c r="H38" i="3" a="1"/>
  <c r="H38" i="3" s="1"/>
  <c r="H38" i="7" s="1"/>
  <c r="H52" i="3" a="1"/>
  <c r="H52" i="3" s="1"/>
  <c r="H52" i="7" s="1"/>
  <c r="H67" i="3" a="1"/>
  <c r="H67" i="3" s="1"/>
  <c r="H67" i="7" s="1"/>
  <c r="H63" i="7"/>
  <c r="H76" i="3" a="1"/>
  <c r="H76" i="3" s="1"/>
  <c r="H76" i="7" s="1"/>
  <c r="H89" i="3" a="1"/>
  <c r="H89" i="3" s="1"/>
  <c r="H89" i="7" s="1"/>
  <c r="H116" i="3" a="1"/>
  <c r="H116" i="3" s="1"/>
  <c r="H116" i="7" s="1"/>
  <c r="H81" i="3" a="1"/>
  <c r="H81" i="3" s="1"/>
  <c r="H81" i="7" s="1"/>
  <c r="H90" i="3" a="1"/>
  <c r="H90" i="3" s="1"/>
  <c r="H90" i="7" s="1"/>
  <c r="H99" i="3" a="1"/>
  <c r="H99" i="3" s="1"/>
  <c r="H99" i="7" s="1"/>
  <c r="H107" i="3" a="1"/>
  <c r="H107" i="3" s="1"/>
  <c r="H107" i="7" s="1"/>
  <c r="H126" i="3" a="1"/>
  <c r="H126" i="3" s="1"/>
  <c r="H126" i="7" s="1"/>
  <c r="H82" i="3" a="1"/>
  <c r="H82" i="3" s="1"/>
  <c r="H82" i="7" s="1"/>
  <c r="H91" i="3" a="1"/>
  <c r="H91" i="3" s="1"/>
  <c r="H91" i="7" s="1"/>
  <c r="H108" i="3" a="1"/>
  <c r="H108" i="3" s="1"/>
  <c r="H108" i="7" s="1"/>
  <c r="H117" i="3" a="1"/>
  <c r="H117" i="3" s="1"/>
  <c r="H117" i="7" s="1"/>
  <c r="H83" i="3" a="1"/>
  <c r="H83" i="3" s="1"/>
  <c r="H83" i="7" s="1"/>
  <c r="H92" i="3" a="1"/>
  <c r="H92" i="3" s="1"/>
  <c r="H92" i="7" s="1"/>
  <c r="H100" i="3" a="1"/>
  <c r="H100" i="3" s="1"/>
  <c r="H100" i="7" s="1"/>
  <c r="H118" i="7"/>
  <c r="H127" i="3" a="1"/>
  <c r="H127" i="3" s="1"/>
  <c r="H127" i="7" s="1"/>
  <c r="H11" i="7"/>
  <c r="H22" i="3" a="1"/>
  <c r="H22" i="3" s="1"/>
  <c r="H22" i="7" s="1"/>
  <c r="H32" i="3" a="1"/>
  <c r="H32" i="3" s="1"/>
  <c r="H32" i="7" s="1"/>
  <c r="H84" i="3" a="1"/>
  <c r="H84" i="3" s="1"/>
  <c r="H84" i="7" s="1"/>
  <c r="H93" i="3" a="1"/>
  <c r="H93" i="3" s="1"/>
  <c r="H93" i="7" s="1"/>
  <c r="H109" i="3" a="1"/>
  <c r="H109" i="3" s="1"/>
  <c r="H109" i="7" s="1"/>
  <c r="H119" i="7"/>
  <c r="H136" i="7"/>
  <c r="H85" i="3" a="1"/>
  <c r="H85" i="3" s="1"/>
  <c r="H85" i="7" s="1"/>
  <c r="H94" i="3" a="1"/>
  <c r="H94" i="3" s="1"/>
  <c r="H94" i="7" s="1"/>
  <c r="H101" i="3" a="1"/>
  <c r="H101" i="3" s="1"/>
  <c r="H101" i="7" s="1"/>
  <c r="H110" i="3" a="1"/>
  <c r="H110" i="3" s="1"/>
  <c r="H110" i="7" s="1"/>
  <c r="H120" i="7"/>
  <c r="H128" i="7"/>
  <c r="H102" i="3" a="1"/>
  <c r="H102" i="3" s="1"/>
  <c r="H102" i="7" s="1"/>
  <c r="H111" i="3" a="1"/>
  <c r="H111" i="3" s="1"/>
  <c r="H111" i="7" s="1"/>
  <c r="H121" i="3" a="1"/>
  <c r="H121" i="3" s="1"/>
  <c r="H121" i="7" s="1"/>
  <c r="H129" i="7"/>
  <c r="H12" i="7"/>
  <c r="H23" i="7"/>
  <c r="H68" i="3" a="1"/>
  <c r="H68" i="3" s="1"/>
  <c r="H68" i="7" s="1"/>
  <c r="H103" i="3" a="1"/>
  <c r="H103" i="3" s="1"/>
  <c r="H103" i="7" s="1"/>
  <c r="H112" i="3" a="1"/>
  <c r="H112" i="3" s="1"/>
  <c r="H112" i="7" s="1"/>
  <c r="H122" i="3" a="1"/>
  <c r="H122" i="3" s="1"/>
  <c r="H122" i="7" s="1"/>
  <c r="H130" i="7"/>
  <c r="H62" i="7"/>
  <c r="H86" i="3" a="1"/>
  <c r="H86" i="3" s="1"/>
  <c r="H86" i="7" s="1"/>
  <c r="H95" i="3" a="1"/>
  <c r="H95" i="3" s="1"/>
  <c r="H95" i="7" s="1"/>
  <c r="H104" i="3" a="1"/>
  <c r="H104" i="3" s="1"/>
  <c r="H104" i="7" s="1"/>
  <c r="H113" i="3" a="1"/>
  <c r="H113" i="3" s="1"/>
  <c r="H113" i="7" s="1"/>
  <c r="H123" i="3" a="1"/>
  <c r="H123" i="3" s="1"/>
  <c r="H123" i="7" s="1"/>
  <c r="H74" i="3" a="1"/>
  <c r="H74" i="3" s="1"/>
  <c r="H74" i="7" s="1"/>
  <c r="H87" i="3" a="1"/>
  <c r="H87" i="3" s="1"/>
  <c r="H87" i="7" s="1"/>
  <c r="H96" i="3" a="1"/>
  <c r="H96" i="3" s="1"/>
  <c r="H96" i="7" s="1"/>
  <c r="H105" i="3" a="1"/>
  <c r="H105" i="3" s="1"/>
  <c r="H105" i="7" s="1"/>
  <c r="H114" i="3" a="1"/>
  <c r="H114" i="3" s="1"/>
  <c r="H114" i="7" s="1"/>
  <c r="H124" i="3" a="1"/>
  <c r="H124" i="3" s="1"/>
  <c r="H124" i="7" s="1"/>
  <c r="H131" i="7"/>
  <c r="H44" i="3" a="1"/>
  <c r="H44" i="3" s="1"/>
  <c r="H44" i="7" s="1"/>
  <c r="H78" i="3" a="1"/>
  <c r="H78" i="3" s="1"/>
  <c r="H78" i="7" s="1"/>
  <c r="H97" i="3" a="1"/>
  <c r="H97" i="3" s="1"/>
  <c r="H97" i="7" s="1"/>
  <c r="H125" i="3" a="1"/>
  <c r="H125" i="3" s="1"/>
  <c r="H125" i="7" s="1"/>
  <c r="K2" i="7"/>
  <c r="L140" i="3" a="1"/>
  <c r="L140" i="3" s="1"/>
  <c r="L140" i="7" s="1"/>
  <c r="M139" i="3" a="1"/>
  <c r="M139" i="3" s="1"/>
  <c r="M139" i="7" s="1"/>
  <c r="N138" i="3" a="1"/>
  <c r="N138" i="3" s="1"/>
  <c r="N138" i="7" s="1"/>
  <c r="O137" i="3" a="1"/>
  <c r="O137" i="3" s="1"/>
  <c r="O137" i="7" s="1"/>
  <c r="D137" i="7"/>
  <c r="D136" i="7"/>
  <c r="E135" i="7"/>
  <c r="F134" i="7"/>
  <c r="E133" i="3" a="1"/>
  <c r="E133" i="3" s="1"/>
  <c r="E133" i="7" s="1"/>
  <c r="M129" i="7"/>
  <c r="M121" i="3" a="1"/>
  <c r="M121" i="3" s="1"/>
  <c r="M121" i="7" s="1"/>
  <c r="N110" i="3" a="1"/>
  <c r="N110" i="3" s="1"/>
  <c r="N110" i="7" s="1"/>
  <c r="E91" i="3" a="1"/>
  <c r="E91" i="3" s="1"/>
  <c r="E91" i="7" s="1"/>
  <c r="H80" i="3" a="1"/>
  <c r="H80" i="3" s="1"/>
  <c r="H80" i="7" s="1"/>
  <c r="L139" i="3" a="1"/>
  <c r="L139" i="3" s="1"/>
  <c r="L139" i="7" s="1"/>
  <c r="M138" i="3" a="1"/>
  <c r="M138" i="3" s="1"/>
  <c r="M138" i="7" s="1"/>
  <c r="N137" i="3" a="1"/>
  <c r="N137" i="3" s="1"/>
  <c r="N137" i="7" s="1"/>
  <c r="P136" i="7"/>
  <c r="D135" i="7"/>
  <c r="E134" i="7"/>
  <c r="P132" i="7"/>
  <c r="L129" i="7"/>
  <c r="N120" i="7"/>
  <c r="O109" i="3" a="1"/>
  <c r="O109" i="3" s="1"/>
  <c r="O109" i="7" s="1"/>
  <c r="P100" i="3" a="1"/>
  <c r="P100" i="3" s="1"/>
  <c r="P100" i="7" s="1"/>
  <c r="H79" i="3" a="1"/>
  <c r="H79" i="3" s="1"/>
  <c r="H79" i="7" s="1"/>
  <c r="N59" i="7"/>
  <c r="K30" i="3" a="1"/>
  <c r="K30" i="3" s="1"/>
  <c r="K30" i="7" s="1"/>
  <c r="K139" i="3" a="1"/>
  <c r="K139" i="3" s="1"/>
  <c r="K139" i="7" s="1"/>
  <c r="L138" i="3" a="1"/>
  <c r="L138" i="3" s="1"/>
  <c r="L138" i="7" s="1"/>
  <c r="O136" i="7"/>
  <c r="P135" i="7"/>
  <c r="P134" i="7"/>
  <c r="D134" i="7"/>
  <c r="L132" i="7"/>
  <c r="N128" i="7"/>
  <c r="O119" i="7"/>
  <c r="P108" i="3" a="1"/>
  <c r="P108" i="3" s="1"/>
  <c r="P108" i="7" s="1"/>
  <c r="I78" i="3" a="1"/>
  <c r="I78" i="3" s="1"/>
  <c r="I78" i="7" s="1"/>
  <c r="D25" i="7"/>
  <c r="G14" i="7"/>
  <c r="G24" i="7"/>
  <c r="G34" i="7"/>
  <c r="G39" i="3" a="1"/>
  <c r="G39" i="3" s="1"/>
  <c r="G39" i="7" s="1"/>
  <c r="G46" i="3" a="1"/>
  <c r="G46" i="3" s="1"/>
  <c r="G46" i="7" s="1"/>
  <c r="G3" i="7"/>
  <c r="G35" i="3" a="1"/>
  <c r="G35" i="3" s="1"/>
  <c r="G35" i="7" s="1"/>
  <c r="G47" i="3" a="1"/>
  <c r="G47" i="3" s="1"/>
  <c r="G47" i="7" s="1"/>
  <c r="G55" i="3" a="1"/>
  <c r="G55" i="3" s="1"/>
  <c r="G55" i="7" s="1"/>
  <c r="G71" i="3" a="1"/>
  <c r="G71" i="3" s="1"/>
  <c r="G71" i="7" s="1"/>
  <c r="G4" i="7"/>
  <c r="G15" i="7"/>
  <c r="G25" i="3" a="1"/>
  <c r="G25" i="3" s="1"/>
  <c r="G25" i="7" s="1"/>
  <c r="G40" i="3" a="1"/>
  <c r="G40" i="3" s="1"/>
  <c r="G40" i="7" s="1"/>
  <c r="G48" i="3" a="1"/>
  <c r="G48" i="3" s="1"/>
  <c r="G48" i="7" s="1"/>
  <c r="G56" i="3" a="1"/>
  <c r="G56" i="3" s="1"/>
  <c r="G56" i="7" s="1"/>
  <c r="G72" i="3" a="1"/>
  <c r="G72" i="3" s="1"/>
  <c r="G72" i="7" s="1"/>
  <c r="G5" i="7"/>
  <c r="G16" i="7"/>
  <c r="G26" i="3" a="1"/>
  <c r="G26" i="3" s="1"/>
  <c r="G26" i="7" s="1"/>
  <c r="G36" i="3" a="1"/>
  <c r="G36" i="3" s="1"/>
  <c r="G36" i="7" s="1"/>
  <c r="G57" i="3" a="1"/>
  <c r="G57" i="3" s="1"/>
  <c r="G57" i="7" s="1"/>
  <c r="G64" i="7"/>
  <c r="G73" i="3" a="1"/>
  <c r="G73" i="3" s="1"/>
  <c r="G73" i="7" s="1"/>
  <c r="G6" i="3" a="1"/>
  <c r="G6" i="3" s="1"/>
  <c r="G6" i="7" s="1"/>
  <c r="G17" i="3" a="1"/>
  <c r="G17" i="3" s="1"/>
  <c r="G17" i="7" s="1"/>
  <c r="G27" i="3" a="1"/>
  <c r="G27" i="3" s="1"/>
  <c r="G27" i="7" s="1"/>
  <c r="G41" i="3" a="1"/>
  <c r="G41" i="3" s="1"/>
  <c r="G41" i="7" s="1"/>
  <c r="G49" i="3" a="1"/>
  <c r="G49" i="3" s="1"/>
  <c r="G49" i="7" s="1"/>
  <c r="G58" i="3" a="1"/>
  <c r="G58" i="3" s="1"/>
  <c r="G58" i="7" s="1"/>
  <c r="G7" i="7"/>
  <c r="G18" i="3" a="1"/>
  <c r="G18" i="3" s="1"/>
  <c r="G18" i="7" s="1"/>
  <c r="G28" i="3" a="1"/>
  <c r="G28" i="3" s="1"/>
  <c r="G28" i="7" s="1"/>
  <c r="G37" i="3" a="1"/>
  <c r="G37" i="3" s="1"/>
  <c r="G37" i="7" s="1"/>
  <c r="G50" i="3" a="1"/>
  <c r="G50" i="3" s="1"/>
  <c r="G50" i="7" s="1"/>
  <c r="G59" i="7"/>
  <c r="G65" i="7"/>
  <c r="G74" i="3" a="1"/>
  <c r="G74" i="3" s="1"/>
  <c r="G74" i="7" s="1"/>
  <c r="G8" i="3" a="1"/>
  <c r="G8" i="3" s="1"/>
  <c r="G8" i="7" s="1"/>
  <c r="G19" i="3" a="1"/>
  <c r="G19" i="3" s="1"/>
  <c r="G19" i="7" s="1"/>
  <c r="G29" i="3" a="1"/>
  <c r="G29" i="3" s="1"/>
  <c r="G29" i="7" s="1"/>
  <c r="G42" i="3" a="1"/>
  <c r="G42" i="3" s="1"/>
  <c r="G42" i="7" s="1"/>
  <c r="G60" i="7"/>
  <c r="G66" i="7"/>
  <c r="G9" i="7"/>
  <c r="G20" i="3" a="1"/>
  <c r="G20" i="3" s="1"/>
  <c r="G20" i="7" s="1"/>
  <c r="G30" i="3" a="1"/>
  <c r="G30" i="3" s="1"/>
  <c r="G30" i="7" s="1"/>
  <c r="G43" i="3" a="1"/>
  <c r="G43" i="3" s="1"/>
  <c r="G43" i="7" s="1"/>
  <c r="G51" i="3" a="1"/>
  <c r="G51" i="3" s="1"/>
  <c r="G51" i="7" s="1"/>
  <c r="G61" i="7"/>
  <c r="G76" i="3" a="1"/>
  <c r="G76" i="3" s="1"/>
  <c r="G76" i="7" s="1"/>
  <c r="G10" i="3" a="1"/>
  <c r="G10" i="3" s="1"/>
  <c r="G10" i="7" s="1"/>
  <c r="G21" i="3" a="1"/>
  <c r="G21" i="3" s="1"/>
  <c r="G21" i="7" s="1"/>
  <c r="G31" i="3" a="1"/>
  <c r="G31" i="3" s="1"/>
  <c r="G31" i="7" s="1"/>
  <c r="G38" i="3" a="1"/>
  <c r="G38" i="3" s="1"/>
  <c r="G38" i="7" s="1"/>
  <c r="G52" i="3" a="1"/>
  <c r="G52" i="3" s="1"/>
  <c r="G52" i="7" s="1"/>
  <c r="G67" i="3" a="1"/>
  <c r="G67" i="3" s="1"/>
  <c r="G67" i="7" s="1"/>
  <c r="G11" i="7"/>
  <c r="G22" i="3" a="1"/>
  <c r="G22" i="3" s="1"/>
  <c r="G22" i="7" s="1"/>
  <c r="G53" i="3" a="1"/>
  <c r="G53" i="3" s="1"/>
  <c r="G53" i="7" s="1"/>
  <c r="G45" i="3" a="1"/>
  <c r="G45" i="3" s="1"/>
  <c r="G45" i="7" s="1"/>
  <c r="G81" i="3" a="1"/>
  <c r="G81" i="3" s="1"/>
  <c r="G81" i="7" s="1"/>
  <c r="G90" i="3" a="1"/>
  <c r="G90" i="3" s="1"/>
  <c r="G90" i="7" s="1"/>
  <c r="G126" i="3" a="1"/>
  <c r="G126" i="3" s="1"/>
  <c r="G126" i="7" s="1"/>
  <c r="G82" i="3" a="1"/>
  <c r="G82" i="3" s="1"/>
  <c r="G82" i="7" s="1"/>
  <c r="G91" i="3" a="1"/>
  <c r="G91" i="3" s="1"/>
  <c r="G91" i="7" s="1"/>
  <c r="G108" i="3" a="1"/>
  <c r="G108" i="3" s="1"/>
  <c r="G108" i="7" s="1"/>
  <c r="G117" i="3" a="1"/>
  <c r="G117" i="3" s="1"/>
  <c r="G117" i="7" s="1"/>
  <c r="G70" i="3" a="1"/>
  <c r="G70" i="3" s="1"/>
  <c r="G70" i="7" s="1"/>
  <c r="G83" i="3" a="1"/>
  <c r="G83" i="3" s="1"/>
  <c r="G83" i="7" s="1"/>
  <c r="G92" i="3" a="1"/>
  <c r="G92" i="3" s="1"/>
  <c r="G92" i="7" s="1"/>
  <c r="G100" i="3" a="1"/>
  <c r="G100" i="3" s="1"/>
  <c r="G100" i="7" s="1"/>
  <c r="G118" i="7"/>
  <c r="G127" i="3" a="1"/>
  <c r="G127" i="3" s="1"/>
  <c r="G127" i="7" s="1"/>
  <c r="G32" i="3" a="1"/>
  <c r="G32" i="3" s="1"/>
  <c r="G32" i="7" s="1"/>
  <c r="G84" i="3" a="1"/>
  <c r="G84" i="3" s="1"/>
  <c r="G84" i="7" s="1"/>
  <c r="G93" i="3" a="1"/>
  <c r="G93" i="3" s="1"/>
  <c r="G93" i="7" s="1"/>
  <c r="G109" i="3" a="1"/>
  <c r="G109" i="3" s="1"/>
  <c r="G109" i="7" s="1"/>
  <c r="G119" i="7"/>
  <c r="G75" i="3" a="1"/>
  <c r="G75" i="3" s="1"/>
  <c r="G75" i="7" s="1"/>
  <c r="G85" i="3" a="1"/>
  <c r="G85" i="3" s="1"/>
  <c r="G85" i="7" s="1"/>
  <c r="G94" i="3" a="1"/>
  <c r="G94" i="3" s="1"/>
  <c r="G94" i="7" s="1"/>
  <c r="G101" i="3" a="1"/>
  <c r="G101" i="3" s="1"/>
  <c r="G101" i="7" s="1"/>
  <c r="G110" i="3" a="1"/>
  <c r="G110" i="3" s="1"/>
  <c r="G110" i="7" s="1"/>
  <c r="G120" i="7"/>
  <c r="G128" i="7"/>
  <c r="G54" i="3" a="1"/>
  <c r="G54" i="3" s="1"/>
  <c r="G54" i="7" s="1"/>
  <c r="G102" i="3" a="1"/>
  <c r="G102" i="3" s="1"/>
  <c r="G102" i="7" s="1"/>
  <c r="G111" i="3" a="1"/>
  <c r="G111" i="3" s="1"/>
  <c r="G111" i="7" s="1"/>
  <c r="G121" i="3" a="1"/>
  <c r="G121" i="3" s="1"/>
  <c r="G121" i="7" s="1"/>
  <c r="G129" i="7"/>
  <c r="G12" i="7"/>
  <c r="G23" i="7"/>
  <c r="G33" i="7"/>
  <c r="G68" i="3" a="1"/>
  <c r="G68" i="3" s="1"/>
  <c r="G68" i="7" s="1"/>
  <c r="G95" i="3" a="1"/>
  <c r="G95" i="3" s="1"/>
  <c r="G95" i="7" s="1"/>
  <c r="G103" i="3" a="1"/>
  <c r="G103" i="3" s="1"/>
  <c r="G103" i="7" s="1"/>
  <c r="G112" i="3" a="1"/>
  <c r="G112" i="3" s="1"/>
  <c r="G112" i="7" s="1"/>
  <c r="G122" i="3" a="1"/>
  <c r="G122" i="3" s="1"/>
  <c r="G122" i="7" s="1"/>
  <c r="G130" i="7"/>
  <c r="G62" i="7"/>
  <c r="G86" i="3" a="1"/>
  <c r="G86" i="3" s="1"/>
  <c r="G86" i="7" s="1"/>
  <c r="G104" i="3" a="1"/>
  <c r="G104" i="3" s="1"/>
  <c r="G104" i="7" s="1"/>
  <c r="G113" i="3" a="1"/>
  <c r="G113" i="3" s="1"/>
  <c r="G113" i="7" s="1"/>
  <c r="G123" i="3" a="1"/>
  <c r="G123" i="3" s="1"/>
  <c r="G123" i="7" s="1"/>
  <c r="G87" i="3" a="1"/>
  <c r="G87" i="3" s="1"/>
  <c r="G87" i="7" s="1"/>
  <c r="G96" i="3" a="1"/>
  <c r="G96" i="3" s="1"/>
  <c r="G96" i="7" s="1"/>
  <c r="G105" i="3" a="1"/>
  <c r="G105" i="3" s="1"/>
  <c r="G105" i="7" s="1"/>
  <c r="G114" i="3" a="1"/>
  <c r="G114" i="3" s="1"/>
  <c r="G114" i="7" s="1"/>
  <c r="G124" i="3" a="1"/>
  <c r="G124" i="3" s="1"/>
  <c r="G124" i="7" s="1"/>
  <c r="G131" i="7"/>
  <c r="G13" i="3" a="1"/>
  <c r="G13" i="3" s="1"/>
  <c r="G13" i="7" s="1"/>
  <c r="G44" i="3" a="1"/>
  <c r="G44" i="3" s="1"/>
  <c r="G44" i="7" s="1"/>
  <c r="G78" i="3" a="1"/>
  <c r="G78" i="3" s="1"/>
  <c r="G78" i="7" s="1"/>
  <c r="G97" i="3" a="1"/>
  <c r="G97" i="3" s="1"/>
  <c r="G97" i="7" s="1"/>
  <c r="G125" i="3" a="1"/>
  <c r="G125" i="3" s="1"/>
  <c r="G125" i="7" s="1"/>
  <c r="G132" i="7"/>
  <c r="G69" i="3" a="1"/>
  <c r="G69" i="3" s="1"/>
  <c r="G69" i="7" s="1"/>
  <c r="G77" i="3" a="1"/>
  <c r="G77" i="3" s="1"/>
  <c r="G77" i="7" s="1"/>
  <c r="G79" i="3" a="1"/>
  <c r="G79" i="3" s="1"/>
  <c r="G79" i="7" s="1"/>
  <c r="G80" i="3" a="1"/>
  <c r="G80" i="3" s="1"/>
  <c r="G80" i="7" s="1"/>
  <c r="G88" i="3" a="1"/>
  <c r="G88" i="3" s="1"/>
  <c r="G88" i="7" s="1"/>
  <c r="G98" i="3" a="1"/>
  <c r="G98" i="3" s="1"/>
  <c r="G98" i="7" s="1"/>
  <c r="G106" i="3" a="1"/>
  <c r="G106" i="3" s="1"/>
  <c r="G106" i="7" s="1"/>
  <c r="G115" i="3" a="1"/>
  <c r="G115" i="3" s="1"/>
  <c r="G115" i="7" s="1"/>
  <c r="F3" i="7"/>
  <c r="F35" i="3" a="1"/>
  <c r="F35" i="3" s="1"/>
  <c r="F35" i="7" s="1"/>
  <c r="F47" i="3" a="1"/>
  <c r="F47" i="3" s="1"/>
  <c r="F47" i="7" s="1"/>
  <c r="F4" i="7"/>
  <c r="F15" i="7"/>
  <c r="F25" i="3" a="1"/>
  <c r="F25" i="3" s="1"/>
  <c r="F25" i="7" s="1"/>
  <c r="F40" i="3" a="1"/>
  <c r="F40" i="3" s="1"/>
  <c r="F40" i="7" s="1"/>
  <c r="F48" i="3" a="1"/>
  <c r="F48" i="3" s="1"/>
  <c r="F48" i="7" s="1"/>
  <c r="F56" i="3" a="1"/>
  <c r="F56" i="3" s="1"/>
  <c r="F56" i="7" s="1"/>
  <c r="F64" i="7"/>
  <c r="F72" i="3" a="1"/>
  <c r="F72" i="3" s="1"/>
  <c r="F72" i="7" s="1"/>
  <c r="F5" i="7"/>
  <c r="F16" i="7"/>
  <c r="F26" i="3" a="1"/>
  <c r="F26" i="3" s="1"/>
  <c r="F26" i="7" s="1"/>
  <c r="F36" i="3" a="1"/>
  <c r="F36" i="3" s="1"/>
  <c r="F36" i="7" s="1"/>
  <c r="F57" i="3" a="1"/>
  <c r="F57" i="3" s="1"/>
  <c r="F57" i="7" s="1"/>
  <c r="F6" i="3" a="1"/>
  <c r="F6" i="3" s="1"/>
  <c r="F6" i="7" s="1"/>
  <c r="F17" i="3" a="1"/>
  <c r="F17" i="3" s="1"/>
  <c r="F17" i="7" s="1"/>
  <c r="F27" i="3" a="1"/>
  <c r="F27" i="3" s="1"/>
  <c r="F27" i="7" s="1"/>
  <c r="F37" i="3" a="1"/>
  <c r="F37" i="3" s="1"/>
  <c r="F37" i="7" s="1"/>
  <c r="F41" i="3" a="1"/>
  <c r="F41" i="3" s="1"/>
  <c r="F41" i="7" s="1"/>
  <c r="F49" i="3" a="1"/>
  <c r="F49" i="3" s="1"/>
  <c r="F49" i="7" s="1"/>
  <c r="F58" i="3" a="1"/>
  <c r="F58" i="3" s="1"/>
  <c r="F58" i="7" s="1"/>
  <c r="F65" i="7"/>
  <c r="F7" i="7"/>
  <c r="F18" i="3" a="1"/>
  <c r="F18" i="3" s="1"/>
  <c r="F18" i="7" s="1"/>
  <c r="F28" i="3" a="1"/>
  <c r="F28" i="3" s="1"/>
  <c r="F28" i="7" s="1"/>
  <c r="F50" i="3" a="1"/>
  <c r="F50" i="3" s="1"/>
  <c r="F50" i="7" s="1"/>
  <c r="F59" i="7"/>
  <c r="F74" i="3" a="1"/>
  <c r="F74" i="3" s="1"/>
  <c r="F74" i="7" s="1"/>
  <c r="F8" i="3" a="1"/>
  <c r="F8" i="3" s="1"/>
  <c r="F8" i="7" s="1"/>
  <c r="F19" i="3" a="1"/>
  <c r="F19" i="3" s="1"/>
  <c r="F19" i="7" s="1"/>
  <c r="F29" i="3" a="1"/>
  <c r="F29" i="3" s="1"/>
  <c r="F29" i="7" s="1"/>
  <c r="F42" i="3" a="1"/>
  <c r="F42" i="3" s="1"/>
  <c r="F42" i="7" s="1"/>
  <c r="F60" i="7"/>
  <c r="F66" i="7"/>
  <c r="F9" i="7"/>
  <c r="F20" i="3" a="1"/>
  <c r="F20" i="3" s="1"/>
  <c r="F20" i="7" s="1"/>
  <c r="F30" i="3" a="1"/>
  <c r="F30" i="3" s="1"/>
  <c r="F30" i="7" s="1"/>
  <c r="F43" i="3" a="1"/>
  <c r="F43" i="3" s="1"/>
  <c r="F43" i="7" s="1"/>
  <c r="F51" i="3" a="1"/>
  <c r="F51" i="3" s="1"/>
  <c r="F51" i="7" s="1"/>
  <c r="F61" i="7"/>
  <c r="F10" i="3" a="1"/>
  <c r="F10" i="3" s="1"/>
  <c r="F10" i="7" s="1"/>
  <c r="F21" i="3" a="1"/>
  <c r="F21" i="3" s="1"/>
  <c r="F21" i="7" s="1"/>
  <c r="F31" i="3" a="1"/>
  <c r="F31" i="3" s="1"/>
  <c r="F31" i="7" s="1"/>
  <c r="F38" i="3" a="1"/>
  <c r="F38" i="3" s="1"/>
  <c r="F38" i="7" s="1"/>
  <c r="F52" i="3" a="1"/>
  <c r="F52" i="3" s="1"/>
  <c r="F52" i="7" s="1"/>
  <c r="F67" i="3" a="1"/>
  <c r="F67" i="3" s="1"/>
  <c r="F67" i="7" s="1"/>
  <c r="F11" i="7"/>
  <c r="F22" i="3" a="1"/>
  <c r="F22" i="3" s="1"/>
  <c r="F22" i="7" s="1"/>
  <c r="F53" i="3" a="1"/>
  <c r="F53" i="3" s="1"/>
  <c r="F53" i="7" s="1"/>
  <c r="F12" i="7"/>
  <c r="F23" i="7"/>
  <c r="F32" i="3" a="1"/>
  <c r="F32" i="3" s="1"/>
  <c r="F32" i="7" s="1"/>
  <c r="F44" i="3" a="1"/>
  <c r="F44" i="3" s="1"/>
  <c r="F44" i="7" s="1"/>
  <c r="F62" i="7"/>
  <c r="F68" i="3" a="1"/>
  <c r="F68" i="3" s="1"/>
  <c r="F68" i="7" s="1"/>
  <c r="F82" i="3" a="1"/>
  <c r="F82" i="3" s="1"/>
  <c r="F82" i="7" s="1"/>
  <c r="F91" i="3" a="1"/>
  <c r="F91" i="3" s="1"/>
  <c r="F91" i="7" s="1"/>
  <c r="F108" i="3" a="1"/>
  <c r="F108" i="3" s="1"/>
  <c r="F108" i="7" s="1"/>
  <c r="F117" i="3" a="1"/>
  <c r="F117" i="3" s="1"/>
  <c r="F117" i="7" s="1"/>
  <c r="F70" i="3" a="1"/>
  <c r="F70" i="3" s="1"/>
  <c r="F70" i="7" s="1"/>
  <c r="F83" i="3" a="1"/>
  <c r="F83" i="3" s="1"/>
  <c r="F83" i="7" s="1"/>
  <c r="F92" i="3" a="1"/>
  <c r="F92" i="3" s="1"/>
  <c r="F92" i="7" s="1"/>
  <c r="F100" i="3" a="1"/>
  <c r="F100" i="3" s="1"/>
  <c r="F100" i="7" s="1"/>
  <c r="F118" i="7"/>
  <c r="F127" i="3" a="1"/>
  <c r="F127" i="3" s="1"/>
  <c r="F127" i="7" s="1"/>
  <c r="F46" i="3" a="1"/>
  <c r="F46" i="3" s="1"/>
  <c r="F46" i="7" s="1"/>
  <c r="F73" i="3" a="1"/>
  <c r="F73" i="3" s="1"/>
  <c r="F73" i="7" s="1"/>
  <c r="F84" i="3" a="1"/>
  <c r="F84" i="3" s="1"/>
  <c r="F84" i="7" s="1"/>
  <c r="F93" i="3" a="1"/>
  <c r="F93" i="3" s="1"/>
  <c r="F93" i="7" s="1"/>
  <c r="F109" i="3" a="1"/>
  <c r="F109" i="3" s="1"/>
  <c r="F109" i="7" s="1"/>
  <c r="F119" i="7"/>
  <c r="F75" i="3" a="1"/>
  <c r="F75" i="3" s="1"/>
  <c r="F75" i="7" s="1"/>
  <c r="F85" i="3" a="1"/>
  <c r="F85" i="3" s="1"/>
  <c r="F85" i="7" s="1"/>
  <c r="F94" i="3" a="1"/>
  <c r="F94" i="3" s="1"/>
  <c r="F94" i="7" s="1"/>
  <c r="F101" i="3" a="1"/>
  <c r="F101" i="3" s="1"/>
  <c r="F101" i="7" s="1"/>
  <c r="F110" i="3" a="1"/>
  <c r="F110" i="3" s="1"/>
  <c r="F110" i="7" s="1"/>
  <c r="F120" i="7"/>
  <c r="F128" i="7"/>
  <c r="F54" i="3" a="1"/>
  <c r="F54" i="3" s="1"/>
  <c r="F54" i="7" s="1"/>
  <c r="F102" i="3" a="1"/>
  <c r="F102" i="3" s="1"/>
  <c r="F102" i="7" s="1"/>
  <c r="F111" i="3" a="1"/>
  <c r="F111" i="3" s="1"/>
  <c r="F111" i="7" s="1"/>
  <c r="F121" i="3" a="1"/>
  <c r="F121" i="3" s="1"/>
  <c r="F121" i="7" s="1"/>
  <c r="F129" i="7"/>
  <c r="F33" i="7"/>
  <c r="F71" i="3" a="1"/>
  <c r="F71" i="3" s="1"/>
  <c r="F71" i="7" s="1"/>
  <c r="F95" i="3" a="1"/>
  <c r="F95" i="3" s="1"/>
  <c r="F95" i="7" s="1"/>
  <c r="F103" i="3" a="1"/>
  <c r="F103" i="3" s="1"/>
  <c r="F103" i="7" s="1"/>
  <c r="F112" i="3" a="1"/>
  <c r="F112" i="3" s="1"/>
  <c r="F112" i="7" s="1"/>
  <c r="F122" i="3" a="1"/>
  <c r="F122" i="3" s="1"/>
  <c r="F122" i="7" s="1"/>
  <c r="F130" i="7"/>
  <c r="F86" i="3" a="1"/>
  <c r="F86" i="3" s="1"/>
  <c r="F86" i="7" s="1"/>
  <c r="F104" i="3" a="1"/>
  <c r="F104" i="3" s="1"/>
  <c r="F104" i="7" s="1"/>
  <c r="F113" i="3" a="1"/>
  <c r="F113" i="3" s="1"/>
  <c r="F113" i="7" s="1"/>
  <c r="F123" i="3" a="1"/>
  <c r="F123" i="3" s="1"/>
  <c r="F123" i="7" s="1"/>
  <c r="F87" i="3" a="1"/>
  <c r="F87" i="3" s="1"/>
  <c r="F87" i="7" s="1"/>
  <c r="F96" i="3" a="1"/>
  <c r="F96" i="3" s="1"/>
  <c r="F96" i="7" s="1"/>
  <c r="F105" i="3" a="1"/>
  <c r="F105" i="3" s="1"/>
  <c r="F105" i="7" s="1"/>
  <c r="F114" i="3" a="1"/>
  <c r="F114" i="3" s="1"/>
  <c r="F114" i="7" s="1"/>
  <c r="F124" i="3" a="1"/>
  <c r="F124" i="3" s="1"/>
  <c r="F124" i="7" s="1"/>
  <c r="F131" i="7"/>
  <c r="F13" i="3" a="1"/>
  <c r="F13" i="3" s="1"/>
  <c r="F13" i="7" s="1"/>
  <c r="F34" i="7"/>
  <c r="F55" i="3" a="1"/>
  <c r="F55" i="3" s="1"/>
  <c r="F55" i="7" s="1"/>
  <c r="F78" i="3" a="1"/>
  <c r="F78" i="3" s="1"/>
  <c r="F78" i="7" s="1"/>
  <c r="F97" i="3" a="1"/>
  <c r="F97" i="3" s="1"/>
  <c r="F97" i="7" s="1"/>
  <c r="F125" i="3" a="1"/>
  <c r="F125" i="3" s="1"/>
  <c r="F125" i="7" s="1"/>
  <c r="F24" i="7"/>
  <c r="F39" i="3" a="1"/>
  <c r="F39" i="3" s="1"/>
  <c r="F39" i="7" s="1"/>
  <c r="F69" i="3" a="1"/>
  <c r="F69" i="3" s="1"/>
  <c r="F69" i="7" s="1"/>
  <c r="F77" i="3" a="1"/>
  <c r="F77" i="3" s="1"/>
  <c r="F77" i="7" s="1"/>
  <c r="F79" i="3" a="1"/>
  <c r="F79" i="3" s="1"/>
  <c r="F79" i="7" s="1"/>
  <c r="F80" i="3" a="1"/>
  <c r="F80" i="3" s="1"/>
  <c r="F80" i="7" s="1"/>
  <c r="F88" i="3" a="1"/>
  <c r="F88" i="3" s="1"/>
  <c r="F88" i="7" s="1"/>
  <c r="F98" i="3" a="1"/>
  <c r="F98" i="3" s="1"/>
  <c r="F98" i="7" s="1"/>
  <c r="F106" i="3" a="1"/>
  <c r="F106" i="3" s="1"/>
  <c r="F106" i="7" s="1"/>
  <c r="F115" i="3" a="1"/>
  <c r="F115" i="3" s="1"/>
  <c r="F115" i="7" s="1"/>
  <c r="F63" i="7"/>
  <c r="F89" i="3" a="1"/>
  <c r="F89" i="3" s="1"/>
  <c r="F89" i="7" s="1"/>
  <c r="F99" i="3" a="1"/>
  <c r="F99" i="3" s="1"/>
  <c r="F99" i="7" s="1"/>
  <c r="F107" i="3" a="1"/>
  <c r="F107" i="3" s="1"/>
  <c r="F107" i="7" s="1"/>
  <c r="F116" i="3" a="1"/>
  <c r="F116" i="3" s="1"/>
  <c r="F116" i="7" s="1"/>
  <c r="E4" i="7"/>
  <c r="E15" i="7"/>
  <c r="E25" i="3" a="1"/>
  <c r="E25" i="3" s="1"/>
  <c r="E25" i="7" s="1"/>
  <c r="E40" i="3" a="1"/>
  <c r="E40" i="3" s="1"/>
  <c r="E40" i="7" s="1"/>
  <c r="E5" i="7"/>
  <c r="E16" i="7"/>
  <c r="E26" i="3" a="1"/>
  <c r="E26" i="3" s="1"/>
  <c r="E26" i="7" s="1"/>
  <c r="E36" i="3" a="1"/>
  <c r="E36" i="3" s="1"/>
  <c r="E36" i="7" s="1"/>
  <c r="E57" i="3" a="1"/>
  <c r="E57" i="3" s="1"/>
  <c r="E57" i="7" s="1"/>
  <c r="E73" i="3" a="1"/>
  <c r="E73" i="3" s="1"/>
  <c r="E73" i="7" s="1"/>
  <c r="E6" i="3" a="1"/>
  <c r="E6" i="3" s="1"/>
  <c r="E6" i="7" s="1"/>
  <c r="E17" i="3" a="1"/>
  <c r="E17" i="3" s="1"/>
  <c r="E17" i="7" s="1"/>
  <c r="E27" i="3" a="1"/>
  <c r="E27" i="3" s="1"/>
  <c r="E27" i="7" s="1"/>
  <c r="E37" i="3" a="1"/>
  <c r="E37" i="3" s="1"/>
  <c r="E37" i="7" s="1"/>
  <c r="E41" i="3" a="1"/>
  <c r="E41" i="3" s="1"/>
  <c r="E41" i="7" s="1"/>
  <c r="E49" i="3" a="1"/>
  <c r="E49" i="3" s="1"/>
  <c r="E49" i="7" s="1"/>
  <c r="E58" i="3" a="1"/>
  <c r="E58" i="3" s="1"/>
  <c r="E58" i="7" s="1"/>
  <c r="E65" i="7"/>
  <c r="E7" i="7"/>
  <c r="E18" i="3" a="1"/>
  <c r="E18" i="3" s="1"/>
  <c r="E18" i="7" s="1"/>
  <c r="E28" i="3" a="1"/>
  <c r="E28" i="3" s="1"/>
  <c r="E28" i="7" s="1"/>
  <c r="E50" i="3" a="1"/>
  <c r="E50" i="3" s="1"/>
  <c r="E50" i="7" s="1"/>
  <c r="E59" i="7"/>
  <c r="E74" i="3" a="1"/>
  <c r="E74" i="3" s="1"/>
  <c r="E74" i="7" s="1"/>
  <c r="E8" i="3" a="1"/>
  <c r="E8" i="3" s="1"/>
  <c r="E8" i="7" s="1"/>
  <c r="E19" i="3" a="1"/>
  <c r="E19" i="3" s="1"/>
  <c r="E19" i="7" s="1"/>
  <c r="E29" i="3" a="1"/>
  <c r="E29" i="3" s="1"/>
  <c r="E29" i="7" s="1"/>
  <c r="E42" i="3" a="1"/>
  <c r="E42" i="3" s="1"/>
  <c r="E42" i="7" s="1"/>
  <c r="E60" i="7"/>
  <c r="E66" i="7"/>
  <c r="E75" i="3" a="1"/>
  <c r="E75" i="3" s="1"/>
  <c r="E75" i="7" s="1"/>
  <c r="E9" i="7"/>
  <c r="E20" i="3" a="1"/>
  <c r="E20" i="3" s="1"/>
  <c r="E20" i="7" s="1"/>
  <c r="E30" i="3" a="1"/>
  <c r="E30" i="3" s="1"/>
  <c r="E30" i="7" s="1"/>
  <c r="E43" i="3" a="1"/>
  <c r="E43" i="3" s="1"/>
  <c r="E43" i="7" s="1"/>
  <c r="E51" i="3" a="1"/>
  <c r="E51" i="3" s="1"/>
  <c r="E51" i="7" s="1"/>
  <c r="E61" i="7"/>
  <c r="E10" i="3" a="1"/>
  <c r="E10" i="3" s="1"/>
  <c r="E10" i="7" s="1"/>
  <c r="E21" i="3" a="1"/>
  <c r="E21" i="3" s="1"/>
  <c r="E21" i="7" s="1"/>
  <c r="E31" i="3" a="1"/>
  <c r="E31" i="3" s="1"/>
  <c r="E31" i="7" s="1"/>
  <c r="E38" i="3" a="1"/>
  <c r="E38" i="3" s="1"/>
  <c r="E38" i="7" s="1"/>
  <c r="E52" i="3" a="1"/>
  <c r="E52" i="3" s="1"/>
  <c r="E52" i="7" s="1"/>
  <c r="E67" i="3" a="1"/>
  <c r="E67" i="3" s="1"/>
  <c r="E67" i="7" s="1"/>
  <c r="E11" i="7"/>
  <c r="E22" i="3" a="1"/>
  <c r="E22" i="3" s="1"/>
  <c r="E22" i="7" s="1"/>
  <c r="E53" i="3" a="1"/>
  <c r="E53" i="3" s="1"/>
  <c r="E53" i="7" s="1"/>
  <c r="E12" i="7"/>
  <c r="E23" i="7"/>
  <c r="E32" i="3" a="1"/>
  <c r="E32" i="3" s="1"/>
  <c r="E32" i="7" s="1"/>
  <c r="E44" i="3" a="1"/>
  <c r="E44" i="3" s="1"/>
  <c r="E44" i="7" s="1"/>
  <c r="E62" i="7"/>
  <c r="E68" i="3" a="1"/>
  <c r="E68" i="3" s="1"/>
  <c r="E68" i="7" s="1"/>
  <c r="E13" i="3" a="1"/>
  <c r="E13" i="3" s="1"/>
  <c r="E13" i="7" s="1"/>
  <c r="E33" i="7"/>
  <c r="E45" i="3" a="1"/>
  <c r="E45" i="3" s="1"/>
  <c r="E45" i="7" s="1"/>
  <c r="E63" i="7"/>
  <c r="E69" i="3" a="1"/>
  <c r="E69" i="3" s="1"/>
  <c r="E69" i="7" s="1"/>
  <c r="E70" i="3" a="1"/>
  <c r="E70" i="3" s="1"/>
  <c r="E70" i="7" s="1"/>
  <c r="E83" i="3" a="1"/>
  <c r="E83" i="3" s="1"/>
  <c r="E83" i="7" s="1"/>
  <c r="E92" i="3" a="1"/>
  <c r="E92" i="3" s="1"/>
  <c r="E92" i="7" s="1"/>
  <c r="E100" i="3" a="1"/>
  <c r="E100" i="3" s="1"/>
  <c r="E100" i="7" s="1"/>
  <c r="E118" i="7"/>
  <c r="E127" i="3" a="1"/>
  <c r="E127" i="3" s="1"/>
  <c r="E127" i="7" s="1"/>
  <c r="E46" i="3" a="1"/>
  <c r="E46" i="3" s="1"/>
  <c r="E46" i="7" s="1"/>
  <c r="E84" i="3" a="1"/>
  <c r="E84" i="3" s="1"/>
  <c r="E84" i="7" s="1"/>
  <c r="E93" i="3" a="1"/>
  <c r="E93" i="3" s="1"/>
  <c r="E93" i="7" s="1"/>
  <c r="E109" i="3" a="1"/>
  <c r="E109" i="3" s="1"/>
  <c r="E109" i="7" s="1"/>
  <c r="E119" i="7"/>
  <c r="E85" i="3" a="1"/>
  <c r="E85" i="3" s="1"/>
  <c r="E85" i="7" s="1"/>
  <c r="E94" i="3" a="1"/>
  <c r="E94" i="3" s="1"/>
  <c r="E94" i="7" s="1"/>
  <c r="E101" i="3" a="1"/>
  <c r="E101" i="3" s="1"/>
  <c r="E101" i="7" s="1"/>
  <c r="E110" i="3" a="1"/>
  <c r="E110" i="3" s="1"/>
  <c r="E110" i="7" s="1"/>
  <c r="E120" i="7"/>
  <c r="E128" i="7"/>
  <c r="E54" i="3" a="1"/>
  <c r="E54" i="3" s="1"/>
  <c r="E54" i="7" s="1"/>
  <c r="E64" i="7"/>
  <c r="E102" i="3" a="1"/>
  <c r="E102" i="3" s="1"/>
  <c r="E102" i="7" s="1"/>
  <c r="E111" i="3" a="1"/>
  <c r="E111" i="3" s="1"/>
  <c r="E111" i="7" s="1"/>
  <c r="E121" i="3" a="1"/>
  <c r="E121" i="3" s="1"/>
  <c r="E121" i="7" s="1"/>
  <c r="E129" i="7"/>
  <c r="E47" i="3" a="1"/>
  <c r="E47" i="3" s="1"/>
  <c r="E47" i="7" s="1"/>
  <c r="E71" i="3" a="1"/>
  <c r="E71" i="3" s="1"/>
  <c r="E71" i="7" s="1"/>
  <c r="E95" i="3" a="1"/>
  <c r="E95" i="3" s="1"/>
  <c r="E95" i="7" s="1"/>
  <c r="E103" i="3" a="1"/>
  <c r="E103" i="3" s="1"/>
  <c r="E103" i="7" s="1"/>
  <c r="E112" i="3" a="1"/>
  <c r="E112" i="3" s="1"/>
  <c r="E112" i="7" s="1"/>
  <c r="E122" i="3" a="1"/>
  <c r="E122" i="3" s="1"/>
  <c r="E122" i="7" s="1"/>
  <c r="E130" i="7"/>
  <c r="E86" i="3" a="1"/>
  <c r="E86" i="3" s="1"/>
  <c r="E86" i="7" s="1"/>
  <c r="E104" i="3" a="1"/>
  <c r="E104" i="3" s="1"/>
  <c r="E104" i="7" s="1"/>
  <c r="E113" i="3" a="1"/>
  <c r="E113" i="3" s="1"/>
  <c r="E113" i="7" s="1"/>
  <c r="E123" i="3" a="1"/>
  <c r="E123" i="3" s="1"/>
  <c r="E123" i="7" s="1"/>
  <c r="E87" i="3" a="1"/>
  <c r="E87" i="3" s="1"/>
  <c r="E87" i="7" s="1"/>
  <c r="E96" i="3" a="1"/>
  <c r="E96" i="3" s="1"/>
  <c r="E96" i="7" s="1"/>
  <c r="E105" i="3" a="1"/>
  <c r="E105" i="3" s="1"/>
  <c r="E105" i="7" s="1"/>
  <c r="E114" i="3" a="1"/>
  <c r="E114" i="3" s="1"/>
  <c r="E114" i="7" s="1"/>
  <c r="E124" i="3" a="1"/>
  <c r="E124" i="3" s="1"/>
  <c r="E124" i="7" s="1"/>
  <c r="E131" i="7"/>
  <c r="E34" i="7"/>
  <c r="E48" i="3" a="1"/>
  <c r="E48" i="3" s="1"/>
  <c r="E48" i="7" s="1"/>
  <c r="E55" i="3" a="1"/>
  <c r="E55" i="3" s="1"/>
  <c r="E55" i="7" s="1"/>
  <c r="E78" i="3" a="1"/>
  <c r="E78" i="3" s="1"/>
  <c r="E78" i="7" s="1"/>
  <c r="E97" i="3" a="1"/>
  <c r="E97" i="3" s="1"/>
  <c r="E97" i="7" s="1"/>
  <c r="E125" i="3" a="1"/>
  <c r="E125" i="3" s="1"/>
  <c r="E125" i="7" s="1"/>
  <c r="E132" i="7"/>
  <c r="E24" i="7"/>
  <c r="E39" i="3" a="1"/>
  <c r="E39" i="3" s="1"/>
  <c r="E39" i="7" s="1"/>
  <c r="E72" i="3" a="1"/>
  <c r="E72" i="3" s="1"/>
  <c r="E72" i="7" s="1"/>
  <c r="E77" i="3" a="1"/>
  <c r="E77" i="3" s="1"/>
  <c r="E77" i="7" s="1"/>
  <c r="E79" i="3" a="1"/>
  <c r="E79" i="3" s="1"/>
  <c r="E79" i="7" s="1"/>
  <c r="E80" i="3" a="1"/>
  <c r="E80" i="3" s="1"/>
  <c r="E80" i="7" s="1"/>
  <c r="E88" i="3" a="1"/>
  <c r="E88" i="3" s="1"/>
  <c r="E88" i="7" s="1"/>
  <c r="E98" i="3" a="1"/>
  <c r="E98" i="3" s="1"/>
  <c r="E98" i="7" s="1"/>
  <c r="E106" i="3" a="1"/>
  <c r="E106" i="3" s="1"/>
  <c r="E106" i="7" s="1"/>
  <c r="E115" i="3" a="1"/>
  <c r="E115" i="3" s="1"/>
  <c r="E115" i="7" s="1"/>
  <c r="E81" i="3" a="1"/>
  <c r="E81" i="3" s="1"/>
  <c r="E81" i="7" s="1"/>
  <c r="E89" i="3" a="1"/>
  <c r="E89" i="3" s="1"/>
  <c r="E89" i="7" s="1"/>
  <c r="E99" i="3" a="1"/>
  <c r="E99" i="3" s="1"/>
  <c r="E99" i="7" s="1"/>
  <c r="E107" i="3" a="1"/>
  <c r="E107" i="3" s="1"/>
  <c r="E107" i="7" s="1"/>
  <c r="E116" i="3" a="1"/>
  <c r="E116" i="3" s="1"/>
  <c r="E116" i="7" s="1"/>
  <c r="E14" i="7"/>
  <c r="E35" i="3" a="1"/>
  <c r="E35" i="3" s="1"/>
  <c r="E35" i="7" s="1"/>
  <c r="E76" i="3" a="1"/>
  <c r="E76" i="3" s="1"/>
  <c r="E76" i="7" s="1"/>
  <c r="E90" i="3" a="1"/>
  <c r="E90" i="3" s="1"/>
  <c r="E90" i="7" s="1"/>
  <c r="E126" i="3" a="1"/>
  <c r="E126" i="3" s="1"/>
  <c r="E126" i="7" s="1"/>
  <c r="H2" i="7"/>
  <c r="I140" i="3" a="1"/>
  <c r="I140" i="3" s="1"/>
  <c r="I140" i="7" s="1"/>
  <c r="J139" i="3" a="1"/>
  <c r="J139" i="3" s="1"/>
  <c r="J139" i="7" s="1"/>
  <c r="K138" i="3" a="1"/>
  <c r="K138" i="3" s="1"/>
  <c r="K138" i="7" s="1"/>
  <c r="L137" i="3" a="1"/>
  <c r="L137" i="3" s="1"/>
  <c r="L137" i="7" s="1"/>
  <c r="N136" i="7"/>
  <c r="O135" i="7"/>
  <c r="O134" i="7"/>
  <c r="P133" i="3" a="1"/>
  <c r="P133" i="3" s="1"/>
  <c r="P133" i="7" s="1"/>
  <c r="J132" i="7"/>
  <c r="P118" i="7"/>
  <c r="E108" i="3" a="1"/>
  <c r="E108" i="3" s="1"/>
  <c r="E108" i="7" s="1"/>
  <c r="G99" i="3" a="1"/>
  <c r="G99" i="3" s="1"/>
  <c r="G99" i="7" s="1"/>
  <c r="H88" i="3" a="1"/>
  <c r="H88" i="3" s="1"/>
  <c r="H88" i="7" s="1"/>
  <c r="H77" i="3" a="1"/>
  <c r="H77" i="3" s="1"/>
  <c r="H77" i="7" s="1"/>
  <c r="M8" i="3" a="1"/>
  <c r="M8" i="3" s="1"/>
  <c r="M8" i="7" s="1"/>
  <c r="M19" i="3" a="1"/>
  <c r="M19" i="3" s="1"/>
  <c r="M19" i="7" s="1"/>
  <c r="M29" i="3" a="1"/>
  <c r="M29" i="3" s="1"/>
  <c r="M29" i="7" s="1"/>
  <c r="M37" i="3" a="1"/>
  <c r="M37" i="3" s="1"/>
  <c r="M37" i="7" s="1"/>
  <c r="M42" i="3" a="1"/>
  <c r="M42" i="3" s="1"/>
  <c r="M42" i="7" s="1"/>
  <c r="M9" i="7"/>
  <c r="M20" i="3" a="1"/>
  <c r="M20" i="3" s="1"/>
  <c r="M20" i="7" s="1"/>
  <c r="M30" i="3" a="1"/>
  <c r="M30" i="3" s="1"/>
  <c r="M30" i="7" s="1"/>
  <c r="M51" i="3" a="1"/>
  <c r="M51" i="3" s="1"/>
  <c r="M51" i="7" s="1"/>
  <c r="M66" i="7"/>
  <c r="M76" i="3" a="1"/>
  <c r="M76" i="3" s="1"/>
  <c r="M76" i="7" s="1"/>
  <c r="M10" i="3" a="1"/>
  <c r="M10" i="3" s="1"/>
  <c r="M10" i="7" s="1"/>
  <c r="M21" i="3" a="1"/>
  <c r="M21" i="3" s="1"/>
  <c r="M21" i="7" s="1"/>
  <c r="M31" i="3" a="1"/>
  <c r="M31" i="3" s="1"/>
  <c r="M31" i="7" s="1"/>
  <c r="M43" i="3" a="1"/>
  <c r="M43" i="3" s="1"/>
  <c r="M43" i="7" s="1"/>
  <c r="M52" i="3" a="1"/>
  <c r="M52" i="3" s="1"/>
  <c r="M52" i="7" s="1"/>
  <c r="M61" i="7"/>
  <c r="M67" i="3" a="1"/>
  <c r="M67" i="3" s="1"/>
  <c r="M67" i="7" s="1"/>
  <c r="M11" i="7"/>
  <c r="M22" i="3" a="1"/>
  <c r="M22" i="3" s="1"/>
  <c r="M22" i="7" s="1"/>
  <c r="M38" i="3" a="1"/>
  <c r="M38" i="3" s="1"/>
  <c r="M38" i="7" s="1"/>
  <c r="M12" i="7"/>
  <c r="M23" i="7"/>
  <c r="M32" i="3" a="1"/>
  <c r="M32" i="3" s="1"/>
  <c r="M32" i="7" s="1"/>
  <c r="M44" i="3" a="1"/>
  <c r="M44" i="3" s="1"/>
  <c r="M44" i="7" s="1"/>
  <c r="M53" i="3" a="1"/>
  <c r="M53" i="3" s="1"/>
  <c r="M53" i="7" s="1"/>
  <c r="M62" i="7"/>
  <c r="M68" i="3" a="1"/>
  <c r="M68" i="3" s="1"/>
  <c r="M68" i="7" s="1"/>
  <c r="M78" i="3" a="1"/>
  <c r="M78" i="3" s="1"/>
  <c r="M78" i="7" s="1"/>
  <c r="M13" i="3" a="1"/>
  <c r="M13" i="3" s="1"/>
  <c r="M13" i="7" s="1"/>
  <c r="M33" i="7"/>
  <c r="M45" i="3" a="1"/>
  <c r="M45" i="3" s="1"/>
  <c r="M45" i="7" s="1"/>
  <c r="M63" i="7"/>
  <c r="M69" i="3" a="1"/>
  <c r="M69" i="3" s="1"/>
  <c r="M69" i="7" s="1"/>
  <c r="M14" i="7"/>
  <c r="M24" i="7"/>
  <c r="M34" i="7"/>
  <c r="M39" i="3" a="1"/>
  <c r="M39" i="3" s="1"/>
  <c r="M39" i="7" s="1"/>
  <c r="M46" i="3" a="1"/>
  <c r="M46" i="3" s="1"/>
  <c r="M46" i="7" s="1"/>
  <c r="M54" i="3" a="1"/>
  <c r="M54" i="3" s="1"/>
  <c r="M54" i="7" s="1"/>
  <c r="M70" i="3" a="1"/>
  <c r="M70" i="3" s="1"/>
  <c r="M70" i="7" s="1"/>
  <c r="M3" i="7"/>
  <c r="M35" i="3" a="1"/>
  <c r="M35" i="3" s="1"/>
  <c r="M35" i="7" s="1"/>
  <c r="M47" i="3" a="1"/>
  <c r="M47" i="3" s="1"/>
  <c r="M47" i="7" s="1"/>
  <c r="M55" i="3" a="1"/>
  <c r="M55" i="3" s="1"/>
  <c r="M55" i="7" s="1"/>
  <c r="M71" i="3" a="1"/>
  <c r="M71" i="3" s="1"/>
  <c r="M71" i="7" s="1"/>
  <c r="M4" i="7"/>
  <c r="M15" i="7"/>
  <c r="M25" i="3" a="1"/>
  <c r="M25" i="3" s="1"/>
  <c r="M25" i="7" s="1"/>
  <c r="M40" i="3" a="1"/>
  <c r="M40" i="3" s="1"/>
  <c r="M40" i="7" s="1"/>
  <c r="M48" i="3" a="1"/>
  <c r="M48" i="3" s="1"/>
  <c r="M48" i="7" s="1"/>
  <c r="M56" i="3" a="1"/>
  <c r="M56" i="3" s="1"/>
  <c r="M56" i="7" s="1"/>
  <c r="M5" i="7"/>
  <c r="M16" i="7"/>
  <c r="M26" i="3" a="1"/>
  <c r="M26" i="3" s="1"/>
  <c r="M26" i="7" s="1"/>
  <c r="M36" i="3" a="1"/>
  <c r="M36" i="3" s="1"/>
  <c r="M36" i="7" s="1"/>
  <c r="M57" i="3" a="1"/>
  <c r="M57" i="3" s="1"/>
  <c r="M57" i="7" s="1"/>
  <c r="M64" i="7"/>
  <c r="M73" i="3" a="1"/>
  <c r="M73" i="3" s="1"/>
  <c r="M73" i="7" s="1"/>
  <c r="M74" i="3" a="1"/>
  <c r="M74" i="3" s="1"/>
  <c r="M74" i="7" s="1"/>
  <c r="M103" i="3" a="1"/>
  <c r="M103" i="3" s="1"/>
  <c r="M103" i="7" s="1"/>
  <c r="M112" i="3" a="1"/>
  <c r="M112" i="3" s="1"/>
  <c r="M112" i="7" s="1"/>
  <c r="M122" i="3" a="1"/>
  <c r="M122" i="3" s="1"/>
  <c r="M122" i="7" s="1"/>
  <c r="M86" i="3" a="1"/>
  <c r="M86" i="3" s="1"/>
  <c r="M86" i="7" s="1"/>
  <c r="M95" i="3" a="1"/>
  <c r="M95" i="3" s="1"/>
  <c r="M95" i="7" s="1"/>
  <c r="M104" i="3" a="1"/>
  <c r="M104" i="3" s="1"/>
  <c r="M104" i="7" s="1"/>
  <c r="M113" i="3" a="1"/>
  <c r="M113" i="3" s="1"/>
  <c r="M113" i="7" s="1"/>
  <c r="M123" i="3" a="1"/>
  <c r="M123" i="3" s="1"/>
  <c r="M123" i="7" s="1"/>
  <c r="M130" i="7"/>
  <c r="M60" i="7"/>
  <c r="M96" i="3" a="1"/>
  <c r="M96" i="3" s="1"/>
  <c r="M96" i="7" s="1"/>
  <c r="M105" i="3" a="1"/>
  <c r="M105" i="3" s="1"/>
  <c r="M105" i="7" s="1"/>
  <c r="M124" i="3" a="1"/>
  <c r="M124" i="3" s="1"/>
  <c r="M124" i="7" s="1"/>
  <c r="M131" i="7"/>
  <c r="M41" i="3" a="1"/>
  <c r="M41" i="3" s="1"/>
  <c r="M41" i="7" s="1"/>
  <c r="M77" i="3" a="1"/>
  <c r="M77" i="3" s="1"/>
  <c r="M77" i="7" s="1"/>
  <c r="M79" i="3" a="1"/>
  <c r="M79" i="3" s="1"/>
  <c r="M79" i="7" s="1"/>
  <c r="M87" i="3" a="1"/>
  <c r="M87" i="3" s="1"/>
  <c r="M87" i="7" s="1"/>
  <c r="M97" i="3" a="1"/>
  <c r="M97" i="3" s="1"/>
  <c r="M97" i="7" s="1"/>
  <c r="M114" i="3" a="1"/>
  <c r="M114" i="3" s="1"/>
  <c r="M114" i="7" s="1"/>
  <c r="M125" i="3" a="1"/>
  <c r="M125" i="3" s="1"/>
  <c r="M125" i="7" s="1"/>
  <c r="M132" i="7"/>
  <c r="M27" i="3" a="1"/>
  <c r="M27" i="3" s="1"/>
  <c r="M27" i="7" s="1"/>
  <c r="M50" i="3" a="1"/>
  <c r="M50" i="3" s="1"/>
  <c r="M50" i="7" s="1"/>
  <c r="M80" i="3" a="1"/>
  <c r="M80" i="3" s="1"/>
  <c r="M80" i="7" s="1"/>
  <c r="M88" i="3" a="1"/>
  <c r="M88" i="3" s="1"/>
  <c r="M88" i="7" s="1"/>
  <c r="M98" i="3" a="1"/>
  <c r="M98" i="3" s="1"/>
  <c r="M98" i="7" s="1"/>
  <c r="M106" i="3" a="1"/>
  <c r="M106" i="3" s="1"/>
  <c r="M106" i="7" s="1"/>
  <c r="M115" i="3" a="1"/>
  <c r="M115" i="3" s="1"/>
  <c r="M115" i="7" s="1"/>
  <c r="M133" i="3" a="1"/>
  <c r="M133" i="3" s="1"/>
  <c r="M133" i="7" s="1"/>
  <c r="M89" i="3" a="1"/>
  <c r="M89" i="3" s="1"/>
  <c r="M89" i="7" s="1"/>
  <c r="M116" i="3" a="1"/>
  <c r="M116" i="3" s="1"/>
  <c r="M116" i="7" s="1"/>
  <c r="M6" i="3" a="1"/>
  <c r="M6" i="3" s="1"/>
  <c r="M6" i="7" s="1"/>
  <c r="M17" i="3" a="1"/>
  <c r="M17" i="3" s="1"/>
  <c r="M17" i="7" s="1"/>
  <c r="M58" i="3" a="1"/>
  <c r="M58" i="3" s="1"/>
  <c r="M58" i="7" s="1"/>
  <c r="M81" i="3" a="1"/>
  <c r="M81" i="3" s="1"/>
  <c r="M81" i="7" s="1"/>
  <c r="M90" i="3" a="1"/>
  <c r="M90" i="3" s="1"/>
  <c r="M90" i="7" s="1"/>
  <c r="M99" i="3" a="1"/>
  <c r="M99" i="3" s="1"/>
  <c r="M99" i="7" s="1"/>
  <c r="M107" i="3" a="1"/>
  <c r="M107" i="3" s="1"/>
  <c r="M107" i="7" s="1"/>
  <c r="M28" i="3" a="1"/>
  <c r="M28" i="3" s="1"/>
  <c r="M28" i="7" s="1"/>
  <c r="M82" i="3" a="1"/>
  <c r="M82" i="3" s="1"/>
  <c r="M82" i="7" s="1"/>
  <c r="M91" i="3" a="1"/>
  <c r="M91" i="3" s="1"/>
  <c r="M91" i="7" s="1"/>
  <c r="M117" i="3" a="1"/>
  <c r="M117" i="3" s="1"/>
  <c r="M117" i="7" s="1"/>
  <c r="M126" i="3" a="1"/>
  <c r="M126" i="3" s="1"/>
  <c r="M126" i="7" s="1"/>
  <c r="M75" i="3" a="1"/>
  <c r="M75" i="3" s="1"/>
  <c r="M75" i="7" s="1"/>
  <c r="M83" i="3" a="1"/>
  <c r="M83" i="3" s="1"/>
  <c r="M83" i="7" s="1"/>
  <c r="M92" i="3" a="1"/>
  <c r="M92" i="3" s="1"/>
  <c r="M92" i="7" s="1"/>
  <c r="M100" i="3" a="1"/>
  <c r="M100" i="3" s="1"/>
  <c r="M100" i="7" s="1"/>
  <c r="M108" i="3" a="1"/>
  <c r="M108" i="3" s="1"/>
  <c r="M108" i="7" s="1"/>
  <c r="M118" i="7"/>
  <c r="M127" i="3" a="1"/>
  <c r="M127" i="3" s="1"/>
  <c r="M127" i="7" s="1"/>
  <c r="M7" i="7"/>
  <c r="M18" i="3" a="1"/>
  <c r="M18" i="3" s="1"/>
  <c r="M18" i="7" s="1"/>
  <c r="M65" i="7"/>
  <c r="M84" i="3" a="1"/>
  <c r="M84" i="3" s="1"/>
  <c r="M84" i="7" s="1"/>
  <c r="M93" i="3" a="1"/>
  <c r="M93" i="3" s="1"/>
  <c r="M93" i="7" s="1"/>
  <c r="M109" i="3" a="1"/>
  <c r="M109" i="3" s="1"/>
  <c r="M109" i="7" s="1"/>
  <c r="M119" i="7"/>
  <c r="M59" i="7"/>
  <c r="M72" i="3" a="1"/>
  <c r="M72" i="3" s="1"/>
  <c r="M72" i="7" s="1"/>
  <c r="M101" i="3" a="1"/>
  <c r="M101" i="3" s="1"/>
  <c r="M101" i="7" s="1"/>
  <c r="M110" i="3" a="1"/>
  <c r="M110" i="3" s="1"/>
  <c r="M110" i="7" s="1"/>
  <c r="M120" i="7"/>
  <c r="M128" i="7"/>
  <c r="K137" i="3" a="1"/>
  <c r="K137" i="3" s="1"/>
  <c r="K137" i="7" s="1"/>
  <c r="M136" i="7"/>
  <c r="N135" i="7"/>
  <c r="I132" i="7"/>
  <c r="G107" i="3" a="1"/>
  <c r="G107" i="3" s="1"/>
  <c r="G107" i="7" s="1"/>
  <c r="H98" i="3" a="1"/>
  <c r="H98" i="3" s="1"/>
  <c r="H98" i="7" s="1"/>
  <c r="J87" i="3" a="1"/>
  <c r="J87" i="3" s="1"/>
  <c r="J87" i="7" s="1"/>
  <c r="F76" i="3" a="1"/>
  <c r="F76" i="3" s="1"/>
  <c r="F76" i="7" s="1"/>
  <c r="H53" i="3" a="1"/>
  <c r="H53" i="3" s="1"/>
  <c r="H53" i="7" s="1"/>
  <c r="L19" i="3" a="1"/>
  <c r="L19" i="3" s="1"/>
  <c r="L19" i="7" s="1"/>
  <c r="P5" i="7"/>
  <c r="P16" i="7"/>
  <c r="P26" i="3" a="1"/>
  <c r="P26" i="3" s="1"/>
  <c r="P26" i="7" s="1"/>
  <c r="P36" i="3" a="1"/>
  <c r="P36" i="3" s="1"/>
  <c r="P36" i="7" s="1"/>
  <c r="P6" i="3" a="1"/>
  <c r="P6" i="3" s="1"/>
  <c r="P6" i="7" s="1"/>
  <c r="P17" i="3" a="1"/>
  <c r="P17" i="3" s="1"/>
  <c r="P17" i="7" s="1"/>
  <c r="P27" i="3" a="1"/>
  <c r="P27" i="3" s="1"/>
  <c r="P27" i="7" s="1"/>
  <c r="P49" i="3" a="1"/>
  <c r="P49" i="3" s="1"/>
  <c r="P49" i="7" s="1"/>
  <c r="P58" i="3" a="1"/>
  <c r="P58" i="3" s="1"/>
  <c r="P58" i="7" s="1"/>
  <c r="P73" i="3" a="1"/>
  <c r="P73" i="3" s="1"/>
  <c r="P73" i="7" s="1"/>
  <c r="P7" i="7"/>
  <c r="P18" i="3" a="1"/>
  <c r="P18" i="3" s="1"/>
  <c r="P18" i="7" s="1"/>
  <c r="P28" i="3" a="1"/>
  <c r="P28" i="3" s="1"/>
  <c r="P28" i="7" s="1"/>
  <c r="P41" i="3" a="1"/>
  <c r="P41" i="3" s="1"/>
  <c r="P41" i="7" s="1"/>
  <c r="P59" i="7"/>
  <c r="P65" i="7"/>
  <c r="P8" i="3" a="1"/>
  <c r="P8" i="3" s="1"/>
  <c r="P8" i="7" s="1"/>
  <c r="P19" i="3" a="1"/>
  <c r="P19" i="3" s="1"/>
  <c r="P19" i="7" s="1"/>
  <c r="P29" i="3" a="1"/>
  <c r="P29" i="3" s="1"/>
  <c r="P29" i="7" s="1"/>
  <c r="P37" i="3" a="1"/>
  <c r="P37" i="3" s="1"/>
  <c r="P37" i="7" s="1"/>
  <c r="P42" i="3" a="1"/>
  <c r="P42" i="3" s="1"/>
  <c r="P42" i="7" s="1"/>
  <c r="P50" i="3" a="1"/>
  <c r="P50" i="3" s="1"/>
  <c r="P50" i="7" s="1"/>
  <c r="P60" i="7"/>
  <c r="P75" i="3" a="1"/>
  <c r="P75" i="3" s="1"/>
  <c r="P75" i="7" s="1"/>
  <c r="P9" i="7"/>
  <c r="P20" i="3" a="1"/>
  <c r="P20" i="3" s="1"/>
  <c r="P20" i="7" s="1"/>
  <c r="P30" i="3" a="1"/>
  <c r="P30" i="3" s="1"/>
  <c r="P30" i="7" s="1"/>
  <c r="P51" i="3" a="1"/>
  <c r="P51" i="3" s="1"/>
  <c r="P51" i="7" s="1"/>
  <c r="P66" i="7"/>
  <c r="P76" i="3" a="1"/>
  <c r="P76" i="3" s="1"/>
  <c r="P76" i="7" s="1"/>
  <c r="P10" i="3" a="1"/>
  <c r="P10" i="3" s="1"/>
  <c r="P10" i="7" s="1"/>
  <c r="P21" i="3" a="1"/>
  <c r="P21" i="3" s="1"/>
  <c r="P21" i="7" s="1"/>
  <c r="P31" i="3" a="1"/>
  <c r="P31" i="3" s="1"/>
  <c r="P31" i="7" s="1"/>
  <c r="P43" i="3" a="1"/>
  <c r="P43" i="3" s="1"/>
  <c r="P43" i="7" s="1"/>
  <c r="P52" i="3" a="1"/>
  <c r="P52" i="3" s="1"/>
  <c r="P52" i="7" s="1"/>
  <c r="P61" i="7"/>
  <c r="P67" i="3" a="1"/>
  <c r="P67" i="3" s="1"/>
  <c r="P67" i="7" s="1"/>
  <c r="P11" i="7"/>
  <c r="P22" i="3" a="1"/>
  <c r="P22" i="3" s="1"/>
  <c r="P22" i="7" s="1"/>
  <c r="P12" i="7"/>
  <c r="P32" i="3" a="1"/>
  <c r="P32" i="3" s="1"/>
  <c r="P32" i="7" s="1"/>
  <c r="P44" i="3" a="1"/>
  <c r="P44" i="3" s="1"/>
  <c r="P44" i="7" s="1"/>
  <c r="P53" i="3" a="1"/>
  <c r="P53" i="3" s="1"/>
  <c r="P53" i="7" s="1"/>
  <c r="P62" i="7"/>
  <c r="P68" i="3" a="1"/>
  <c r="P68" i="3" s="1"/>
  <c r="P68" i="7" s="1"/>
  <c r="P13" i="3" a="1"/>
  <c r="P13" i="3" s="1"/>
  <c r="P13" i="7" s="1"/>
  <c r="P23" i="7"/>
  <c r="P33" i="7"/>
  <c r="P38" i="3" a="1"/>
  <c r="P38" i="3" s="1"/>
  <c r="P38" i="7" s="1"/>
  <c r="P45" i="3" a="1"/>
  <c r="P45" i="3" s="1"/>
  <c r="P45" i="7" s="1"/>
  <c r="P63" i="7"/>
  <c r="P69" i="3" a="1"/>
  <c r="P69" i="3" s="1"/>
  <c r="P69" i="7" s="1"/>
  <c r="P14" i="7"/>
  <c r="P24" i="7"/>
  <c r="P34" i="7"/>
  <c r="P46" i="3" a="1"/>
  <c r="P46" i="3" s="1"/>
  <c r="P46" i="7" s="1"/>
  <c r="P54" i="3" a="1"/>
  <c r="P54" i="3" s="1"/>
  <c r="P54" i="7" s="1"/>
  <c r="P70" i="3" a="1"/>
  <c r="P70" i="3" s="1"/>
  <c r="P70" i="7" s="1"/>
  <c r="P3" i="7"/>
  <c r="P35" i="3" a="1"/>
  <c r="P35" i="3" s="1"/>
  <c r="P35" i="7" s="1"/>
  <c r="P72" i="3" a="1"/>
  <c r="P72" i="3" s="1"/>
  <c r="P72" i="7" s="1"/>
  <c r="P84" i="3" a="1"/>
  <c r="P84" i="3" s="1"/>
  <c r="P84" i="7" s="1"/>
  <c r="P93" i="3" a="1"/>
  <c r="P93" i="3" s="1"/>
  <c r="P93" i="7" s="1"/>
  <c r="P109" i="3" a="1"/>
  <c r="P109" i="3" s="1"/>
  <c r="P109" i="7" s="1"/>
  <c r="P119" i="7"/>
  <c r="P25" i="3" a="1"/>
  <c r="P25" i="3" s="1"/>
  <c r="P25" i="7" s="1"/>
  <c r="P40" i="3" a="1"/>
  <c r="P40" i="3" s="1"/>
  <c r="P40" i="7" s="1"/>
  <c r="P56" i="3" a="1"/>
  <c r="P56" i="3" s="1"/>
  <c r="P56" i="7" s="1"/>
  <c r="P101" i="3" a="1"/>
  <c r="P101" i="3" s="1"/>
  <c r="P101" i="7" s="1"/>
  <c r="P110" i="3" a="1"/>
  <c r="P110" i="3" s="1"/>
  <c r="P110" i="7" s="1"/>
  <c r="P120" i="7"/>
  <c r="P128" i="7"/>
  <c r="P74" i="3" a="1"/>
  <c r="P74" i="3" s="1"/>
  <c r="P74" i="7" s="1"/>
  <c r="P85" i="3" a="1"/>
  <c r="P85" i="3" s="1"/>
  <c r="P85" i="7" s="1"/>
  <c r="P94" i="3" a="1"/>
  <c r="P94" i="3" s="1"/>
  <c r="P94" i="7" s="1"/>
  <c r="P102" i="3" a="1"/>
  <c r="P102" i="3" s="1"/>
  <c r="P102" i="7" s="1"/>
  <c r="P111" i="3" a="1"/>
  <c r="P111" i="3" s="1"/>
  <c r="P111" i="7" s="1"/>
  <c r="P121" i="3" a="1"/>
  <c r="P121" i="3" s="1"/>
  <c r="P121" i="7" s="1"/>
  <c r="P129" i="7"/>
  <c r="P4" i="7"/>
  <c r="P15" i="7"/>
  <c r="P103" i="3" a="1"/>
  <c r="P103" i="3" s="1"/>
  <c r="P103" i="7" s="1"/>
  <c r="P112" i="3" a="1"/>
  <c r="P112" i="3" s="1"/>
  <c r="P112" i="7" s="1"/>
  <c r="P122" i="3" a="1"/>
  <c r="P122" i="3" s="1"/>
  <c r="P122" i="7" s="1"/>
  <c r="P86" i="3" a="1"/>
  <c r="P86" i="3" s="1"/>
  <c r="P86" i="7" s="1"/>
  <c r="P95" i="3" a="1"/>
  <c r="P95" i="3" s="1"/>
  <c r="P95" i="7" s="1"/>
  <c r="P104" i="3" a="1"/>
  <c r="P104" i="3" s="1"/>
  <c r="P104" i="7" s="1"/>
  <c r="P113" i="3" a="1"/>
  <c r="P113" i="3" s="1"/>
  <c r="P113" i="7" s="1"/>
  <c r="P123" i="3" a="1"/>
  <c r="P123" i="3" s="1"/>
  <c r="P123" i="7" s="1"/>
  <c r="P130" i="7"/>
  <c r="P47" i="3" a="1"/>
  <c r="P47" i="3" s="1"/>
  <c r="P47" i="7" s="1"/>
  <c r="P57" i="3" a="1"/>
  <c r="P57" i="3" s="1"/>
  <c r="P57" i="7" s="1"/>
  <c r="P77" i="3" a="1"/>
  <c r="P77" i="3" s="1"/>
  <c r="P77" i="7" s="1"/>
  <c r="P96" i="3" a="1"/>
  <c r="P96" i="3" s="1"/>
  <c r="P96" i="7" s="1"/>
  <c r="P105" i="3" a="1"/>
  <c r="P105" i="3" s="1"/>
  <c r="P105" i="7" s="1"/>
  <c r="P124" i="3" a="1"/>
  <c r="P124" i="3" s="1"/>
  <c r="P124" i="7" s="1"/>
  <c r="P131" i="7"/>
  <c r="P71" i="3" a="1"/>
  <c r="P71" i="3" s="1"/>
  <c r="P71" i="7" s="1"/>
  <c r="P78" i="3" a="1"/>
  <c r="P78" i="3" s="1"/>
  <c r="P78" i="7" s="1"/>
  <c r="P79" i="3" a="1"/>
  <c r="P79" i="3" s="1"/>
  <c r="P79" i="7" s="1"/>
  <c r="P87" i="3" a="1"/>
  <c r="P87" i="3" s="1"/>
  <c r="P87" i="7" s="1"/>
  <c r="P97" i="3" a="1"/>
  <c r="P97" i="3" s="1"/>
  <c r="P97" i="7" s="1"/>
  <c r="P114" i="3" a="1"/>
  <c r="P114" i="3" s="1"/>
  <c r="P114" i="7" s="1"/>
  <c r="P64" i="7"/>
  <c r="P80" i="3" a="1"/>
  <c r="P80" i="3" s="1"/>
  <c r="P80" i="7" s="1"/>
  <c r="P88" i="3" a="1"/>
  <c r="P88" i="3" s="1"/>
  <c r="P88" i="7" s="1"/>
  <c r="P98" i="3" a="1"/>
  <c r="P98" i="3" s="1"/>
  <c r="P98" i="7" s="1"/>
  <c r="P106" i="3" a="1"/>
  <c r="P106" i="3" s="1"/>
  <c r="P106" i="7" s="1"/>
  <c r="P115" i="3" a="1"/>
  <c r="P115" i="3" s="1"/>
  <c r="P115" i="7" s="1"/>
  <c r="P125" i="3" a="1"/>
  <c r="P125" i="3" s="1"/>
  <c r="P125" i="7" s="1"/>
  <c r="P89" i="3" a="1"/>
  <c r="P89" i="3" s="1"/>
  <c r="P89" i="7" s="1"/>
  <c r="P116" i="3" a="1"/>
  <c r="P116" i="3" s="1"/>
  <c r="P116" i="7" s="1"/>
  <c r="P48" i="3" a="1"/>
  <c r="P48" i="3" s="1"/>
  <c r="P48" i="7" s="1"/>
  <c r="P55" i="3" a="1"/>
  <c r="P55" i="3" s="1"/>
  <c r="P55" i="7" s="1"/>
  <c r="P81" i="3" a="1"/>
  <c r="P81" i="3" s="1"/>
  <c r="P81" i="7" s="1"/>
  <c r="P90" i="3" a="1"/>
  <c r="P90" i="3" s="1"/>
  <c r="P90" i="7" s="1"/>
  <c r="P99" i="3" a="1"/>
  <c r="P99" i="3" s="1"/>
  <c r="P99" i="7" s="1"/>
  <c r="P107" i="3" a="1"/>
  <c r="P107" i="3" s="1"/>
  <c r="P107" i="7" s="1"/>
  <c r="P39" i="3" a="1"/>
  <c r="P39" i="3" s="1"/>
  <c r="P39" i="7" s="1"/>
  <c r="P82" i="3" a="1"/>
  <c r="P82" i="3" s="1"/>
  <c r="P82" i="7" s="1"/>
  <c r="P91" i="3" a="1"/>
  <c r="P91" i="3" s="1"/>
  <c r="P91" i="7" s="1"/>
  <c r="P117" i="3" a="1"/>
  <c r="P117" i="3" s="1"/>
  <c r="P117" i="7" s="1"/>
  <c r="P126" i="3" a="1"/>
  <c r="P126" i="3" s="1"/>
  <c r="P126" i="7" s="1"/>
  <c r="D5" i="7"/>
  <c r="D16" i="7"/>
  <c r="D26" i="7"/>
  <c r="D36" i="7"/>
  <c r="D41" i="7"/>
  <c r="D6" i="7"/>
  <c r="D17" i="7"/>
  <c r="D27" i="7"/>
  <c r="D37" i="7"/>
  <c r="D49" i="7"/>
  <c r="D58" i="7"/>
  <c r="D65" i="7"/>
  <c r="D7" i="7"/>
  <c r="D18" i="7"/>
  <c r="D28" i="7"/>
  <c r="D50" i="7"/>
  <c r="D59" i="7"/>
  <c r="D8" i="7"/>
  <c r="D19" i="7"/>
  <c r="D29" i="7"/>
  <c r="D42" i="7"/>
  <c r="D60" i="7"/>
  <c r="D66" i="7"/>
  <c r="D75" i="7"/>
  <c r="D9" i="7"/>
  <c r="D20" i="7"/>
  <c r="D30" i="7"/>
  <c r="D43" i="7"/>
  <c r="D51" i="7"/>
  <c r="D61" i="7"/>
  <c r="D76" i="7"/>
  <c r="D10" i="7"/>
  <c r="D21" i="7"/>
  <c r="D31" i="7"/>
  <c r="D38" i="7"/>
  <c r="D52" i="7"/>
  <c r="D67" i="7"/>
  <c r="D11" i="7"/>
  <c r="D22" i="7"/>
  <c r="D53" i="7"/>
  <c r="D12" i="7"/>
  <c r="D23" i="7"/>
  <c r="D32" i="7"/>
  <c r="D44" i="7"/>
  <c r="D62" i="7"/>
  <c r="D68" i="7"/>
  <c r="D13" i="7"/>
  <c r="D33" i="7"/>
  <c r="D45" i="7"/>
  <c r="D63" i="7"/>
  <c r="D69" i="7"/>
  <c r="D14" i="7"/>
  <c r="D24" i="7"/>
  <c r="D34" i="7"/>
  <c r="D39" i="7"/>
  <c r="D46" i="7"/>
  <c r="D54" i="7"/>
  <c r="D70" i="7"/>
  <c r="D84" i="7"/>
  <c r="D93" i="7"/>
  <c r="D109" i="7"/>
  <c r="D119" i="7"/>
  <c r="D4" i="7"/>
  <c r="D15" i="7"/>
  <c r="D73" i="7"/>
  <c r="D85" i="7"/>
  <c r="D94" i="7"/>
  <c r="D101" i="7"/>
  <c r="D110" i="7"/>
  <c r="D120" i="7"/>
  <c r="D128" i="7"/>
  <c r="D57" i="7"/>
  <c r="D64" i="7"/>
  <c r="D102" i="7"/>
  <c r="D111" i="7"/>
  <c r="D121" i="7"/>
  <c r="D129" i="7"/>
  <c r="D47" i="7"/>
  <c r="D71" i="7"/>
  <c r="D95" i="7"/>
  <c r="D103" i="7"/>
  <c r="D112" i="7"/>
  <c r="D122" i="7"/>
  <c r="D130" i="7"/>
  <c r="D86" i="7"/>
  <c r="D104" i="7"/>
  <c r="D113" i="7"/>
  <c r="D123" i="7"/>
  <c r="D87" i="7"/>
  <c r="D96" i="7"/>
  <c r="D105" i="7"/>
  <c r="D114" i="7"/>
  <c r="D124" i="7"/>
  <c r="D131" i="7"/>
  <c r="D48" i="7"/>
  <c r="D55" i="7"/>
  <c r="D78" i="7"/>
  <c r="D97" i="7"/>
  <c r="D125" i="7"/>
  <c r="D132" i="7"/>
  <c r="D72" i="7"/>
  <c r="D77" i="7"/>
  <c r="D79" i="7"/>
  <c r="D80" i="7"/>
  <c r="D88" i="7"/>
  <c r="D98" i="7"/>
  <c r="D106" i="7"/>
  <c r="D115" i="7"/>
  <c r="D133" i="7"/>
  <c r="D74" i="7"/>
  <c r="D81" i="7"/>
  <c r="D89" i="7"/>
  <c r="D99" i="7"/>
  <c r="D107" i="7"/>
  <c r="D116" i="7"/>
  <c r="D35" i="7"/>
  <c r="D90" i="7"/>
  <c r="D126" i="7"/>
  <c r="D3" i="7"/>
  <c r="D56" i="7"/>
  <c r="D82" i="7"/>
  <c r="D91" i="7"/>
  <c r="D100" i="7"/>
  <c r="D108" i="7"/>
  <c r="D117" i="7"/>
  <c r="H139" i="3" a="1"/>
  <c r="H139" i="3" s="1"/>
  <c r="H139" i="7" s="1"/>
  <c r="I138" i="3" a="1"/>
  <c r="I138" i="3" s="1"/>
  <c r="I138" i="7" s="1"/>
  <c r="J137" i="3" a="1"/>
  <c r="J137" i="3" s="1"/>
  <c r="J137" i="7" s="1"/>
  <c r="L136" i="7"/>
  <c r="M135" i="7"/>
  <c r="M134" i="7"/>
  <c r="L133" i="3" a="1"/>
  <c r="L133" i="3" s="1"/>
  <c r="L133" i="7" s="1"/>
  <c r="H132" i="7"/>
  <c r="D127" i="7"/>
  <c r="E117" i="3" a="1"/>
  <c r="E117" i="3" s="1"/>
  <c r="E117" i="7" s="1"/>
  <c r="H106" i="3" a="1"/>
  <c r="H106" i="3" s="1"/>
  <c r="H106" i="7" s="1"/>
  <c r="I97" i="3" a="1"/>
  <c r="I97" i="3" s="1"/>
  <c r="I97" i="7" s="1"/>
  <c r="K86" i="3" a="1"/>
  <c r="K86" i="3" s="1"/>
  <c r="K86" i="7" s="1"/>
  <c r="L74" i="3" a="1"/>
  <c r="L74" i="3" s="1"/>
  <c r="L74" i="7" s="1"/>
  <c r="M49" i="3" a="1"/>
  <c r="M49" i="3" s="1"/>
  <c r="M49" i="7" s="1"/>
  <c r="O6" i="3" a="1"/>
  <c r="O6" i="3" s="1"/>
  <c r="O6" i="7" s="1"/>
  <c r="O17" i="3" a="1"/>
  <c r="O17" i="3" s="1"/>
  <c r="O17" i="7" s="1"/>
  <c r="O27" i="3" a="1"/>
  <c r="O27" i="3" s="1"/>
  <c r="O27" i="7" s="1"/>
  <c r="O7" i="7"/>
  <c r="O18" i="3" a="1"/>
  <c r="O18" i="3" s="1"/>
  <c r="O18" i="7" s="1"/>
  <c r="O28" i="3" a="1"/>
  <c r="O28" i="3" s="1"/>
  <c r="O28" i="7" s="1"/>
  <c r="O41" i="3" a="1"/>
  <c r="O41" i="3" s="1"/>
  <c r="O41" i="7" s="1"/>
  <c r="O59" i="7"/>
  <c r="O65" i="7"/>
  <c r="O74" i="3" a="1"/>
  <c r="O74" i="3" s="1"/>
  <c r="O74" i="7" s="1"/>
  <c r="O8" i="3" a="1"/>
  <c r="O8" i="3" s="1"/>
  <c r="O8" i="7" s="1"/>
  <c r="O19" i="3" a="1"/>
  <c r="O19" i="3" s="1"/>
  <c r="O19" i="7" s="1"/>
  <c r="O29" i="3" a="1"/>
  <c r="O29" i="3" s="1"/>
  <c r="O29" i="7" s="1"/>
  <c r="O37" i="3" a="1"/>
  <c r="O37" i="3" s="1"/>
  <c r="O37" i="7" s="1"/>
  <c r="O42" i="3" a="1"/>
  <c r="O42" i="3" s="1"/>
  <c r="O42" i="7" s="1"/>
  <c r="O50" i="3" a="1"/>
  <c r="O50" i="3" s="1"/>
  <c r="O50" i="7" s="1"/>
  <c r="O60" i="7"/>
  <c r="O9" i="7"/>
  <c r="O20" i="3" a="1"/>
  <c r="O20" i="3" s="1"/>
  <c r="O20" i="7" s="1"/>
  <c r="O30" i="3" a="1"/>
  <c r="O30" i="3" s="1"/>
  <c r="O30" i="7" s="1"/>
  <c r="O51" i="3" a="1"/>
  <c r="O51" i="3" s="1"/>
  <c r="O51" i="7" s="1"/>
  <c r="O66" i="7"/>
  <c r="O10" i="3" a="1"/>
  <c r="O10" i="3" s="1"/>
  <c r="O10" i="7" s="1"/>
  <c r="O21" i="3" a="1"/>
  <c r="O21" i="3" s="1"/>
  <c r="O21" i="7" s="1"/>
  <c r="O31" i="3" a="1"/>
  <c r="O31" i="3" s="1"/>
  <c r="O31" i="7" s="1"/>
  <c r="O43" i="3" a="1"/>
  <c r="O43" i="3" s="1"/>
  <c r="O43" i="7" s="1"/>
  <c r="O52" i="3" a="1"/>
  <c r="O52" i="3" s="1"/>
  <c r="O52" i="7" s="1"/>
  <c r="O61" i="7"/>
  <c r="O67" i="3" a="1"/>
  <c r="O67" i="3" s="1"/>
  <c r="O67" i="7" s="1"/>
  <c r="O77" i="3" a="1"/>
  <c r="O77" i="3" s="1"/>
  <c r="O77" i="7" s="1"/>
  <c r="O11" i="7"/>
  <c r="O22" i="3" a="1"/>
  <c r="O22" i="3" s="1"/>
  <c r="O22" i="7" s="1"/>
  <c r="O12" i="7"/>
  <c r="O23" i="7"/>
  <c r="O32" i="3" a="1"/>
  <c r="O32" i="3" s="1"/>
  <c r="O32" i="7" s="1"/>
  <c r="O38" i="3" a="1"/>
  <c r="O38" i="3" s="1"/>
  <c r="O38" i="7" s="1"/>
  <c r="O44" i="3" a="1"/>
  <c r="O44" i="3" s="1"/>
  <c r="O44" i="7" s="1"/>
  <c r="O53" i="3" a="1"/>
  <c r="O53" i="3" s="1"/>
  <c r="O53" i="7" s="1"/>
  <c r="O62" i="7"/>
  <c r="O68" i="3" a="1"/>
  <c r="O68" i="3" s="1"/>
  <c r="O68" i="7" s="1"/>
  <c r="O13" i="3" a="1"/>
  <c r="O13" i="3" s="1"/>
  <c r="O13" i="7" s="1"/>
  <c r="O33" i="7"/>
  <c r="O45" i="3" a="1"/>
  <c r="O45" i="3" s="1"/>
  <c r="O45" i="7" s="1"/>
  <c r="O63" i="7"/>
  <c r="O69" i="3" a="1"/>
  <c r="O69" i="3" s="1"/>
  <c r="O69" i="7" s="1"/>
  <c r="O14" i="7"/>
  <c r="O24" i="7"/>
  <c r="O34" i="7"/>
  <c r="O46" i="3" a="1"/>
  <c r="O46" i="3" s="1"/>
  <c r="O46" i="7" s="1"/>
  <c r="O54" i="3" a="1"/>
  <c r="O54" i="3" s="1"/>
  <c r="O54" i="7" s="1"/>
  <c r="O70" i="3" a="1"/>
  <c r="O70" i="3" s="1"/>
  <c r="O70" i="7" s="1"/>
  <c r="O3" i="7"/>
  <c r="O39" i="3" a="1"/>
  <c r="O39" i="3" s="1"/>
  <c r="O39" i="7" s="1"/>
  <c r="O47" i="3" a="1"/>
  <c r="O47" i="3" s="1"/>
  <c r="O47" i="7" s="1"/>
  <c r="O55" i="3" a="1"/>
  <c r="O55" i="3" s="1"/>
  <c r="O55" i="7" s="1"/>
  <c r="O71" i="3" a="1"/>
  <c r="O71" i="3" s="1"/>
  <c r="O71" i="7" s="1"/>
  <c r="O25" i="3" a="1"/>
  <c r="O25" i="3" s="1"/>
  <c r="O25" i="7" s="1"/>
  <c r="O40" i="3" a="1"/>
  <c r="O40" i="3" s="1"/>
  <c r="O40" i="7" s="1"/>
  <c r="O56" i="3" a="1"/>
  <c r="O56" i="3" s="1"/>
  <c r="O56" i="7" s="1"/>
  <c r="O101" i="3" a="1"/>
  <c r="O101" i="3" s="1"/>
  <c r="O101" i="7" s="1"/>
  <c r="O110" i="3" a="1"/>
  <c r="O110" i="3" s="1"/>
  <c r="O110" i="7" s="1"/>
  <c r="O120" i="7"/>
  <c r="O128" i="7"/>
  <c r="O49" i="3" a="1"/>
  <c r="O49" i="3" s="1"/>
  <c r="O49" i="7" s="1"/>
  <c r="O85" i="3" a="1"/>
  <c r="O85" i="3" s="1"/>
  <c r="O85" i="7" s="1"/>
  <c r="O94" i="3" a="1"/>
  <c r="O94" i="3" s="1"/>
  <c r="O94" i="7" s="1"/>
  <c r="O102" i="3" a="1"/>
  <c r="O102" i="3" s="1"/>
  <c r="O102" i="7" s="1"/>
  <c r="O111" i="3" a="1"/>
  <c r="O111" i="3" s="1"/>
  <c r="O111" i="7" s="1"/>
  <c r="O121" i="3" a="1"/>
  <c r="O121" i="3" s="1"/>
  <c r="O121" i="7" s="1"/>
  <c r="O129" i="7"/>
  <c r="O4" i="7"/>
  <c r="O15" i="7"/>
  <c r="O36" i="3" a="1"/>
  <c r="O36" i="3" s="1"/>
  <c r="O36" i="7" s="1"/>
  <c r="O103" i="3" a="1"/>
  <c r="O103" i="3" s="1"/>
  <c r="O103" i="7" s="1"/>
  <c r="O112" i="3" a="1"/>
  <c r="O112" i="3" s="1"/>
  <c r="O112" i="7" s="1"/>
  <c r="O122" i="3" a="1"/>
  <c r="O122" i="3" s="1"/>
  <c r="O122" i="7" s="1"/>
  <c r="O26" i="3" a="1"/>
  <c r="O26" i="3" s="1"/>
  <c r="O26" i="7" s="1"/>
  <c r="O86" i="3" a="1"/>
  <c r="O86" i="3" s="1"/>
  <c r="O86" i="7" s="1"/>
  <c r="O95" i="3" a="1"/>
  <c r="O95" i="3" s="1"/>
  <c r="O95" i="7" s="1"/>
  <c r="O104" i="3" a="1"/>
  <c r="O104" i="3" s="1"/>
  <c r="O104" i="7" s="1"/>
  <c r="O113" i="3" a="1"/>
  <c r="O113" i="3" s="1"/>
  <c r="O113" i="7" s="1"/>
  <c r="O123" i="3" a="1"/>
  <c r="O123" i="3" s="1"/>
  <c r="O123" i="7" s="1"/>
  <c r="O130" i="7"/>
  <c r="O57" i="3" a="1"/>
  <c r="O57" i="3" s="1"/>
  <c r="O57" i="7" s="1"/>
  <c r="O96" i="3" a="1"/>
  <c r="O96" i="3" s="1"/>
  <c r="O96" i="7" s="1"/>
  <c r="O105" i="3" a="1"/>
  <c r="O105" i="3" s="1"/>
  <c r="O105" i="7" s="1"/>
  <c r="O124" i="3" a="1"/>
  <c r="O124" i="3" s="1"/>
  <c r="O124" i="7" s="1"/>
  <c r="O131" i="7"/>
  <c r="O5" i="7"/>
  <c r="O16" i="7"/>
  <c r="O78" i="3" a="1"/>
  <c r="O78" i="3" s="1"/>
  <c r="O78" i="7" s="1"/>
  <c r="O79" i="3" a="1"/>
  <c r="O79" i="3" s="1"/>
  <c r="O79" i="7" s="1"/>
  <c r="O87" i="3" a="1"/>
  <c r="O87" i="3" s="1"/>
  <c r="O87" i="7" s="1"/>
  <c r="O97" i="3" a="1"/>
  <c r="O97" i="3" s="1"/>
  <c r="O97" i="7" s="1"/>
  <c r="O114" i="3" a="1"/>
  <c r="O114" i="3" s="1"/>
  <c r="O114" i="7" s="1"/>
  <c r="O132" i="7"/>
  <c r="O64" i="7"/>
  <c r="O76" i="3" a="1"/>
  <c r="O76" i="3" s="1"/>
  <c r="O76" i="7" s="1"/>
  <c r="O80" i="3" a="1"/>
  <c r="O80" i="3" s="1"/>
  <c r="O80" i="7" s="1"/>
  <c r="O88" i="3" a="1"/>
  <c r="O88" i="3" s="1"/>
  <c r="O88" i="7" s="1"/>
  <c r="O98" i="3" a="1"/>
  <c r="O98" i="3" s="1"/>
  <c r="O98" i="7" s="1"/>
  <c r="O106" i="3" a="1"/>
  <c r="O106" i="3" s="1"/>
  <c r="O106" i="7" s="1"/>
  <c r="O115" i="3" a="1"/>
  <c r="O115" i="3" s="1"/>
  <c r="O115" i="7" s="1"/>
  <c r="O125" i="3" a="1"/>
  <c r="O125" i="3" s="1"/>
  <c r="O125" i="7" s="1"/>
  <c r="O73" i="3" a="1"/>
  <c r="O73" i="3" s="1"/>
  <c r="O73" i="7" s="1"/>
  <c r="O89" i="3" a="1"/>
  <c r="O89" i="3" s="1"/>
  <c r="O89" i="7" s="1"/>
  <c r="O116" i="3" a="1"/>
  <c r="O116" i="3" s="1"/>
  <c r="O116" i="7" s="1"/>
  <c r="O48" i="3" a="1"/>
  <c r="O48" i="3" s="1"/>
  <c r="O48" i="7" s="1"/>
  <c r="O58" i="3" a="1"/>
  <c r="O58" i="3" s="1"/>
  <c r="O58" i="7" s="1"/>
  <c r="O81" i="3" a="1"/>
  <c r="O81" i="3" s="1"/>
  <c r="O81" i="7" s="1"/>
  <c r="O90" i="3" a="1"/>
  <c r="O90" i="3" s="1"/>
  <c r="O90" i="7" s="1"/>
  <c r="O99" i="3" a="1"/>
  <c r="O99" i="3" s="1"/>
  <c r="O99" i="7" s="1"/>
  <c r="O107" i="3" a="1"/>
  <c r="O107" i="3" s="1"/>
  <c r="O107" i="7" s="1"/>
  <c r="O75" i="3" a="1"/>
  <c r="O75" i="3" s="1"/>
  <c r="O75" i="7" s="1"/>
  <c r="O82" i="3" a="1"/>
  <c r="O82" i="3" s="1"/>
  <c r="O82" i="7" s="1"/>
  <c r="O91" i="3" a="1"/>
  <c r="O91" i="3" s="1"/>
  <c r="O91" i="7" s="1"/>
  <c r="O117" i="3" a="1"/>
  <c r="O117" i="3" s="1"/>
  <c r="O117" i="7" s="1"/>
  <c r="O126" i="3" a="1"/>
  <c r="O126" i="3" s="1"/>
  <c r="O126" i="7" s="1"/>
  <c r="O83" i="3" a="1"/>
  <c r="O83" i="3" s="1"/>
  <c r="O83" i="7" s="1"/>
  <c r="O92" i="3" a="1"/>
  <c r="O92" i="3" s="1"/>
  <c r="O92" i="7" s="1"/>
  <c r="O100" i="3" a="1"/>
  <c r="O100" i="3" s="1"/>
  <c r="O100" i="7" s="1"/>
  <c r="O108" i="3" a="1"/>
  <c r="O108" i="3" s="1"/>
  <c r="O108" i="7" s="1"/>
  <c r="O118" i="7"/>
  <c r="O127" i="3" a="1"/>
  <c r="O127" i="3" s="1"/>
  <c r="O127" i="7" s="1"/>
  <c r="D2" i="7"/>
  <c r="N7" i="7"/>
  <c r="N18" i="3" a="1"/>
  <c r="N18" i="3" s="1"/>
  <c r="N18" i="7" s="1"/>
  <c r="N28" i="3" a="1"/>
  <c r="N28" i="3" s="1"/>
  <c r="N28" i="7" s="1"/>
  <c r="N41" i="3" a="1"/>
  <c r="N41" i="3" s="1"/>
  <c r="N41" i="7" s="1"/>
  <c r="N8" i="3" a="1"/>
  <c r="N8" i="3" s="1"/>
  <c r="N8" i="7" s="1"/>
  <c r="N19" i="3" a="1"/>
  <c r="N19" i="3" s="1"/>
  <c r="N19" i="7" s="1"/>
  <c r="N29" i="3" a="1"/>
  <c r="N29" i="3" s="1"/>
  <c r="N29" i="7" s="1"/>
  <c r="N37" i="3" a="1"/>
  <c r="N37" i="3" s="1"/>
  <c r="N37" i="7" s="1"/>
  <c r="N42" i="3" a="1"/>
  <c r="N42" i="3" s="1"/>
  <c r="N42" i="7" s="1"/>
  <c r="N50" i="3" a="1"/>
  <c r="N50" i="3" s="1"/>
  <c r="N50" i="7" s="1"/>
  <c r="N60" i="7"/>
  <c r="N75" i="3" a="1"/>
  <c r="N75" i="3" s="1"/>
  <c r="N75" i="7" s="1"/>
  <c r="N9" i="7"/>
  <c r="N20" i="3" a="1"/>
  <c r="N20" i="3" s="1"/>
  <c r="N20" i="7" s="1"/>
  <c r="N30" i="3" a="1"/>
  <c r="N30" i="3" s="1"/>
  <c r="N30" i="7" s="1"/>
  <c r="N51" i="3" a="1"/>
  <c r="N51" i="3" s="1"/>
  <c r="N51" i="7" s="1"/>
  <c r="N66" i="7"/>
  <c r="N10" i="3" a="1"/>
  <c r="N10" i="3" s="1"/>
  <c r="N10" i="7" s="1"/>
  <c r="N21" i="3" a="1"/>
  <c r="N21" i="3" s="1"/>
  <c r="N21" i="7" s="1"/>
  <c r="N31" i="3" a="1"/>
  <c r="N31" i="3" s="1"/>
  <c r="N31" i="7" s="1"/>
  <c r="N43" i="3" a="1"/>
  <c r="N43" i="3" s="1"/>
  <c r="N43" i="7" s="1"/>
  <c r="N52" i="3" a="1"/>
  <c r="N52" i="3" s="1"/>
  <c r="N52" i="7" s="1"/>
  <c r="N61" i="7"/>
  <c r="N67" i="3" a="1"/>
  <c r="N67" i="3" s="1"/>
  <c r="N67" i="7" s="1"/>
  <c r="N11" i="7"/>
  <c r="N22" i="3" a="1"/>
  <c r="N22" i="3" s="1"/>
  <c r="N22" i="7" s="1"/>
  <c r="N12" i="7"/>
  <c r="N23" i="7"/>
  <c r="N32" i="3" a="1"/>
  <c r="N32" i="3" s="1"/>
  <c r="N32" i="7" s="1"/>
  <c r="N38" i="3" a="1"/>
  <c r="N38" i="3" s="1"/>
  <c r="N38" i="7" s="1"/>
  <c r="N44" i="3" a="1"/>
  <c r="N44" i="3" s="1"/>
  <c r="N44" i="7" s="1"/>
  <c r="N53" i="3" a="1"/>
  <c r="N53" i="3" s="1"/>
  <c r="N53" i="7" s="1"/>
  <c r="N62" i="7"/>
  <c r="N68" i="3" a="1"/>
  <c r="N68" i="3" s="1"/>
  <c r="N68" i="7" s="1"/>
  <c r="N13" i="3" a="1"/>
  <c r="N13" i="3" s="1"/>
  <c r="N13" i="7" s="1"/>
  <c r="N33" i="7"/>
  <c r="N45" i="3" a="1"/>
  <c r="N45" i="3" s="1"/>
  <c r="N45" i="7" s="1"/>
  <c r="N63" i="7"/>
  <c r="N69" i="3" a="1"/>
  <c r="N69" i="3" s="1"/>
  <c r="N69" i="7" s="1"/>
  <c r="N14" i="7"/>
  <c r="N24" i="7"/>
  <c r="N34" i="7"/>
  <c r="N39" i="3" a="1"/>
  <c r="N39" i="3" s="1"/>
  <c r="N39" i="7" s="1"/>
  <c r="N46" i="3" a="1"/>
  <c r="N46" i="3" s="1"/>
  <c r="N46" i="7" s="1"/>
  <c r="N54" i="3" a="1"/>
  <c r="N54" i="3" s="1"/>
  <c r="N54" i="7" s="1"/>
  <c r="N70" i="3" a="1"/>
  <c r="N70" i="3" s="1"/>
  <c r="N70" i="7" s="1"/>
  <c r="N3" i="7"/>
  <c r="N47" i="3" a="1"/>
  <c r="N47" i="3" s="1"/>
  <c r="N47" i="7" s="1"/>
  <c r="N55" i="3" a="1"/>
  <c r="N55" i="3" s="1"/>
  <c r="N55" i="7" s="1"/>
  <c r="N71" i="3" a="1"/>
  <c r="N71" i="3" s="1"/>
  <c r="N71" i="7" s="1"/>
  <c r="N4" i="7"/>
  <c r="N15" i="7"/>
  <c r="N25" i="3" a="1"/>
  <c r="N25" i="3" s="1"/>
  <c r="N25" i="7" s="1"/>
  <c r="N35" i="3" a="1"/>
  <c r="N35" i="3" s="1"/>
  <c r="N35" i="7" s="1"/>
  <c r="N40" i="3" a="1"/>
  <c r="N40" i="3" s="1"/>
  <c r="N40" i="7" s="1"/>
  <c r="N48" i="3" a="1"/>
  <c r="N48" i="3" s="1"/>
  <c r="N48" i="7" s="1"/>
  <c r="N56" i="3" a="1"/>
  <c r="N56" i="3" s="1"/>
  <c r="N56" i="7" s="1"/>
  <c r="N72" i="3" a="1"/>
  <c r="N72" i="3" s="1"/>
  <c r="N72" i="7" s="1"/>
  <c r="N49" i="3" a="1"/>
  <c r="N49" i="3" s="1"/>
  <c r="N49" i="7" s="1"/>
  <c r="N85" i="3" a="1"/>
  <c r="N85" i="3" s="1"/>
  <c r="N85" i="7" s="1"/>
  <c r="N94" i="3" a="1"/>
  <c r="N94" i="3" s="1"/>
  <c r="N94" i="7" s="1"/>
  <c r="N102" i="3" a="1"/>
  <c r="N102" i="3" s="1"/>
  <c r="N102" i="7" s="1"/>
  <c r="N111" i="3" a="1"/>
  <c r="N111" i="3" s="1"/>
  <c r="N111" i="7" s="1"/>
  <c r="N121" i="3" a="1"/>
  <c r="N121" i="3" s="1"/>
  <c r="N121" i="7" s="1"/>
  <c r="N129" i="7"/>
  <c r="N36" i="3" a="1"/>
  <c r="N36" i="3" s="1"/>
  <c r="N36" i="7" s="1"/>
  <c r="N74" i="3" a="1"/>
  <c r="N74" i="3" s="1"/>
  <c r="N74" i="7" s="1"/>
  <c r="N103" i="3" a="1"/>
  <c r="N103" i="3" s="1"/>
  <c r="N103" i="7" s="1"/>
  <c r="N112" i="3" a="1"/>
  <c r="N112" i="3" s="1"/>
  <c r="N112" i="7" s="1"/>
  <c r="N122" i="3" a="1"/>
  <c r="N122" i="3" s="1"/>
  <c r="N122" i="7" s="1"/>
  <c r="N26" i="3" a="1"/>
  <c r="N26" i="3" s="1"/>
  <c r="N26" i="7" s="1"/>
  <c r="N86" i="3" a="1"/>
  <c r="N86" i="3" s="1"/>
  <c r="N86" i="7" s="1"/>
  <c r="N95" i="3" a="1"/>
  <c r="N95" i="3" s="1"/>
  <c r="N95" i="7" s="1"/>
  <c r="N104" i="3" a="1"/>
  <c r="N104" i="3" s="1"/>
  <c r="N104" i="7" s="1"/>
  <c r="N113" i="3" a="1"/>
  <c r="N113" i="3" s="1"/>
  <c r="N113" i="7" s="1"/>
  <c r="N123" i="3" a="1"/>
  <c r="N123" i="3" s="1"/>
  <c r="N123" i="7" s="1"/>
  <c r="N130" i="7"/>
  <c r="N57" i="3" a="1"/>
  <c r="N57" i="3" s="1"/>
  <c r="N57" i="7" s="1"/>
  <c r="N78" i="3" a="1"/>
  <c r="N78" i="3" s="1"/>
  <c r="N78" i="7" s="1"/>
  <c r="N96" i="3" a="1"/>
  <c r="N96" i="3" s="1"/>
  <c r="N96" i="7" s="1"/>
  <c r="N105" i="3" a="1"/>
  <c r="N105" i="3" s="1"/>
  <c r="N105" i="7" s="1"/>
  <c r="N124" i="3" a="1"/>
  <c r="N124" i="3" s="1"/>
  <c r="N124" i="7" s="1"/>
  <c r="N131" i="7"/>
  <c r="N5" i="7"/>
  <c r="N16" i="7"/>
  <c r="N77" i="3" a="1"/>
  <c r="N77" i="3" s="1"/>
  <c r="N77" i="7" s="1"/>
  <c r="N79" i="3" a="1"/>
  <c r="N79" i="3" s="1"/>
  <c r="N79" i="7" s="1"/>
  <c r="N87" i="3" a="1"/>
  <c r="N87" i="3" s="1"/>
  <c r="N87" i="7" s="1"/>
  <c r="N97" i="3" a="1"/>
  <c r="N97" i="3" s="1"/>
  <c r="N97" i="7" s="1"/>
  <c r="N114" i="3" a="1"/>
  <c r="N114" i="3" s="1"/>
  <c r="N114" i="7" s="1"/>
  <c r="N132" i="7"/>
  <c r="N27" i="3" a="1"/>
  <c r="N27" i="3" s="1"/>
  <c r="N27" i="7" s="1"/>
  <c r="N64" i="7"/>
  <c r="N73" i="3" a="1"/>
  <c r="N73" i="3" s="1"/>
  <c r="N73" i="7" s="1"/>
  <c r="N76" i="3" a="1"/>
  <c r="N76" i="3" s="1"/>
  <c r="N76" i="7" s="1"/>
  <c r="N80" i="3" a="1"/>
  <c r="N80" i="3" s="1"/>
  <c r="N80" i="7" s="1"/>
  <c r="N88" i="3" a="1"/>
  <c r="N88" i="3" s="1"/>
  <c r="N88" i="7" s="1"/>
  <c r="N98" i="3" a="1"/>
  <c r="N98" i="3" s="1"/>
  <c r="N98" i="7" s="1"/>
  <c r="N106" i="3" a="1"/>
  <c r="N106" i="3" s="1"/>
  <c r="N106" i="7" s="1"/>
  <c r="N115" i="3" a="1"/>
  <c r="N115" i="3" s="1"/>
  <c r="N115" i="7" s="1"/>
  <c r="N125" i="3" a="1"/>
  <c r="N125" i="3" s="1"/>
  <c r="N125" i="7" s="1"/>
  <c r="N133" i="3" a="1"/>
  <c r="N133" i="3" s="1"/>
  <c r="N133" i="7" s="1"/>
  <c r="N89" i="3" a="1"/>
  <c r="N89" i="3" s="1"/>
  <c r="N89" i="7" s="1"/>
  <c r="N116" i="3" a="1"/>
  <c r="N116" i="3" s="1"/>
  <c r="N116" i="7" s="1"/>
  <c r="N6" i="3" a="1"/>
  <c r="N6" i="3" s="1"/>
  <c r="N6" i="7" s="1"/>
  <c r="N17" i="3" a="1"/>
  <c r="N17" i="3" s="1"/>
  <c r="N17" i="7" s="1"/>
  <c r="N58" i="3" a="1"/>
  <c r="N58" i="3" s="1"/>
  <c r="N58" i="7" s="1"/>
  <c r="N81" i="3" a="1"/>
  <c r="N81" i="3" s="1"/>
  <c r="N81" i="7" s="1"/>
  <c r="N90" i="3" a="1"/>
  <c r="N90" i="3" s="1"/>
  <c r="N90" i="7" s="1"/>
  <c r="N99" i="3" a="1"/>
  <c r="N99" i="3" s="1"/>
  <c r="N99" i="7" s="1"/>
  <c r="N107" i="3" a="1"/>
  <c r="N107" i="3" s="1"/>
  <c r="N107" i="7" s="1"/>
  <c r="N82" i="3" a="1"/>
  <c r="N82" i="3" s="1"/>
  <c r="N82" i="7" s="1"/>
  <c r="N91" i="3" a="1"/>
  <c r="N91" i="3" s="1"/>
  <c r="N91" i="7" s="1"/>
  <c r="N117" i="3" a="1"/>
  <c r="N117" i="3" s="1"/>
  <c r="N117" i="7" s="1"/>
  <c r="N126" i="3" a="1"/>
  <c r="N126" i="3" s="1"/>
  <c r="N126" i="7" s="1"/>
  <c r="N83" i="3" a="1"/>
  <c r="N83" i="3" s="1"/>
  <c r="N83" i="7" s="1"/>
  <c r="N92" i="3" a="1"/>
  <c r="N92" i="3" s="1"/>
  <c r="N92" i="7" s="1"/>
  <c r="N100" i="3" a="1"/>
  <c r="N100" i="3" s="1"/>
  <c r="N100" i="7" s="1"/>
  <c r="N108" i="3" a="1"/>
  <c r="N108" i="3" s="1"/>
  <c r="N108" i="7" s="1"/>
  <c r="N118" i="7"/>
  <c r="N127" i="3" a="1"/>
  <c r="N127" i="3" s="1"/>
  <c r="N127" i="7" s="1"/>
  <c r="N65" i="7"/>
  <c r="N84" i="3" a="1"/>
  <c r="N84" i="3" s="1"/>
  <c r="N84" i="7" s="1"/>
  <c r="N93" i="3" a="1"/>
  <c r="N93" i="3" s="1"/>
  <c r="N93" i="7" s="1"/>
  <c r="N109" i="3" a="1"/>
  <c r="N109" i="3" s="1"/>
  <c r="N109" i="7" s="1"/>
  <c r="N119" i="7"/>
  <c r="F140" i="3" a="1"/>
  <c r="F140" i="3" s="1"/>
  <c r="F140" i="7" s="1"/>
  <c r="G139" i="3" a="1"/>
  <c r="G139" i="3" s="1"/>
  <c r="G139" i="7" s="1"/>
  <c r="H138" i="3" a="1"/>
  <c r="H138" i="3" s="1"/>
  <c r="H138" i="7" s="1"/>
  <c r="I137" i="3" a="1"/>
  <c r="I137" i="3" s="1"/>
  <c r="I137" i="7" s="1"/>
  <c r="K136" i="7"/>
  <c r="L135" i="7"/>
  <c r="L134" i="7"/>
  <c r="K133" i="3" a="1"/>
  <c r="K133" i="3" s="1"/>
  <c r="K133" i="7" s="1"/>
  <c r="F132" i="7"/>
  <c r="F126" i="3" a="1"/>
  <c r="F126" i="3" s="1"/>
  <c r="F126" i="7" s="1"/>
  <c r="G116" i="3" a="1"/>
  <c r="G116" i="3" s="1"/>
  <c r="G116" i="7" s="1"/>
  <c r="J96" i="3" a="1"/>
  <c r="J96" i="3" s="1"/>
  <c r="J96" i="7" s="1"/>
  <c r="M85" i="3" a="1"/>
  <c r="M85" i="3" s="1"/>
  <c r="M85" i="7" s="1"/>
  <c r="O72" i="3" a="1"/>
  <c r="O72" i="3" s="1"/>
  <c r="O72" i="7" s="1"/>
  <c r="F14" i="7"/>
  <c r="Q132" i="7"/>
  <c r="Q119" i="7"/>
  <c r="Q104" i="7"/>
  <c r="Q87" i="7"/>
  <c r="Q84" i="7"/>
  <c r="Q34" i="7"/>
  <c r="Q14" i="7"/>
  <c r="Q128" i="7"/>
  <c r="Q124" i="7"/>
  <c r="Q108" i="7"/>
  <c r="Q73" i="7"/>
  <c r="Q69" i="7"/>
  <c r="Q56" i="7"/>
  <c r="Q48" i="7"/>
  <c r="Q29" i="7"/>
  <c r="Q24" i="7"/>
  <c r="Q19" i="7"/>
  <c r="Q8" i="7"/>
  <c r="Q139" i="7"/>
  <c r="Q135" i="7"/>
  <c r="Q118" i="7"/>
  <c r="Q113" i="7"/>
  <c r="Q95" i="7"/>
  <c r="Q91" i="7"/>
  <c r="Q77" i="7"/>
  <c r="Q66" i="7"/>
  <c r="Q52" i="7"/>
  <c r="Q131" i="7"/>
  <c r="Q103" i="7"/>
  <c r="Q99" i="7"/>
  <c r="Q86" i="7"/>
  <c r="Q60" i="7"/>
  <c r="Q47" i="7"/>
  <c r="Q43" i="7"/>
  <c r="Q40" i="7"/>
  <c r="Q37" i="7"/>
  <c r="Q33" i="7"/>
  <c r="Q23" i="7"/>
  <c r="Q18" i="7"/>
  <c r="Q13" i="7"/>
  <c r="Q7" i="7"/>
  <c r="Q138" i="7"/>
  <c r="Q127" i="7"/>
  <c r="Q123" i="7"/>
  <c r="Q117" i="7"/>
  <c r="Q112" i="7"/>
  <c r="Q107" i="7"/>
  <c r="Q83" i="7"/>
  <c r="Q63" i="7"/>
  <c r="Q55" i="7"/>
  <c r="Q51" i="7"/>
  <c r="Q28" i="7"/>
  <c r="Q134" i="7"/>
  <c r="Q102" i="7"/>
  <c r="Q94" i="7"/>
  <c r="Q90" i="7"/>
  <c r="Q80" i="7"/>
  <c r="Q65" i="7"/>
  <c r="Q39" i="7"/>
  <c r="Q32" i="7"/>
  <c r="Q17" i="7"/>
  <c r="Q12" i="7"/>
  <c r="Q6" i="7"/>
  <c r="Q130" i="7"/>
  <c r="Q126" i="7"/>
  <c r="Q122" i="7"/>
  <c r="Q116" i="7"/>
  <c r="Q111" i="7"/>
  <c r="Q85" i="7"/>
  <c r="Q82" i="7"/>
  <c r="Q76" i="7"/>
  <c r="Q72" i="7"/>
  <c r="Q68" i="7"/>
  <c r="Q62" i="7"/>
  <c r="Q59" i="7"/>
  <c r="Q50" i="7"/>
  <c r="Q46" i="7"/>
  <c r="Q27" i="7"/>
  <c r="Q22" i="7"/>
  <c r="Q137" i="7"/>
  <c r="Q106" i="7"/>
  <c r="Q101" i="7"/>
  <c r="Q98" i="7"/>
  <c r="Q89" i="7"/>
  <c r="Q79" i="7"/>
  <c r="Q54" i="7"/>
  <c r="Q42" i="7"/>
  <c r="Q36" i="7"/>
  <c r="Q16" i="7"/>
  <c r="Q11" i="7"/>
  <c r="Q5" i="7"/>
  <c r="Q133" i="7"/>
  <c r="Q121" i="7"/>
  <c r="Q75" i="7"/>
  <c r="Q71" i="7"/>
  <c r="Q58" i="7"/>
  <c r="Q38" i="7"/>
  <c r="Q31" i="7"/>
  <c r="Q26" i="7"/>
  <c r="Q21" i="7"/>
  <c r="Q2" i="7"/>
  <c r="Q115" i="7"/>
  <c r="Q110" i="7"/>
  <c r="Q97" i="7"/>
  <c r="Q93" i="7"/>
  <c r="Q45" i="7"/>
  <c r="Q35" i="7"/>
  <c r="Q15" i="7"/>
  <c r="Q10" i="7"/>
  <c r="Q4" i="7"/>
  <c r="Q129" i="7"/>
  <c r="Q125" i="7"/>
  <c r="Q120" i="7"/>
  <c r="Q105" i="7"/>
  <c r="Q88" i="7"/>
  <c r="Q81" i="7"/>
  <c r="Q78" i="7"/>
  <c r="Q67" i="7"/>
  <c r="Q57" i="7"/>
  <c r="Q53" i="7"/>
  <c r="Q49" i="7"/>
  <c r="Q41" i="7"/>
  <c r="Q30" i="7"/>
  <c r="Q25" i="7"/>
  <c r="Q20" i="7"/>
  <c r="Q140" i="7"/>
  <c r="Q136" i="7"/>
  <c r="Q114" i="7"/>
  <c r="Q109" i="7"/>
  <c r="Q100" i="7"/>
  <c r="Q96" i="7"/>
  <c r="Q92" i="7"/>
  <c r="Q74" i="7"/>
  <c r="Q70" i="7"/>
  <c r="Q64" i="7"/>
  <c r="Q61" i="7"/>
  <c r="Q44" i="7"/>
  <c r="Q9" i="7"/>
  <c r="R118" i="7" l="1"/>
  <c r="R91" i="7"/>
  <c r="R82" i="7"/>
  <c r="R133" i="7"/>
  <c r="R78" i="7"/>
  <c r="R86" i="7"/>
  <c r="R109" i="7"/>
  <c r="R45" i="7"/>
  <c r="R67" i="7"/>
  <c r="R40" i="7"/>
  <c r="R9" i="7"/>
  <c r="R7" i="7"/>
  <c r="R3" i="7"/>
  <c r="R5" i="7"/>
  <c r="R56" i="7"/>
  <c r="R115" i="7"/>
  <c r="R55" i="7"/>
  <c r="R130" i="7"/>
  <c r="R57" i="7"/>
  <c r="R93" i="7"/>
  <c r="R33" i="7"/>
  <c r="R52" i="7"/>
  <c r="R75" i="7"/>
  <c r="R65" i="7"/>
  <c r="R106" i="7"/>
  <c r="R48" i="7"/>
  <c r="R122" i="7"/>
  <c r="R128" i="7"/>
  <c r="R84" i="7"/>
  <c r="R13" i="7"/>
  <c r="R38" i="7"/>
  <c r="R66" i="7"/>
  <c r="R58" i="7"/>
  <c r="R83" i="7"/>
  <c r="R126" i="7"/>
  <c r="R98" i="7"/>
  <c r="R131" i="7"/>
  <c r="R112" i="7"/>
  <c r="R120" i="7"/>
  <c r="R70" i="7"/>
  <c r="R68" i="7"/>
  <c r="R31" i="7"/>
  <c r="R60" i="7"/>
  <c r="R49" i="7"/>
  <c r="R134" i="7"/>
  <c r="R140" i="7"/>
  <c r="R90" i="7"/>
  <c r="R88" i="7"/>
  <c r="R124" i="7"/>
  <c r="R103" i="7"/>
  <c r="R110" i="7"/>
  <c r="R54" i="7"/>
  <c r="R62" i="7"/>
  <c r="R21" i="7"/>
  <c r="R42" i="7"/>
  <c r="R37" i="7"/>
  <c r="R35" i="7"/>
  <c r="R80" i="7"/>
  <c r="R114" i="7"/>
  <c r="R95" i="7"/>
  <c r="R101" i="7"/>
  <c r="R46" i="7"/>
  <c r="R44" i="7"/>
  <c r="R10" i="7"/>
  <c r="R29" i="7"/>
  <c r="R27" i="7"/>
  <c r="R116" i="7"/>
  <c r="R79" i="7"/>
  <c r="R105" i="7"/>
  <c r="R71" i="7"/>
  <c r="R94" i="7"/>
  <c r="R39" i="7"/>
  <c r="R32" i="7"/>
  <c r="R76" i="7"/>
  <c r="R19" i="7"/>
  <c r="R17" i="7"/>
  <c r="R135" i="7"/>
  <c r="R107" i="7"/>
  <c r="R77" i="7"/>
  <c r="R96" i="7"/>
  <c r="R47" i="7"/>
  <c r="R85" i="7"/>
  <c r="R34" i="7"/>
  <c r="R23" i="7"/>
  <c r="R61" i="7"/>
  <c r="R8" i="7"/>
  <c r="R6" i="7"/>
  <c r="R136" i="7"/>
  <c r="R92" i="7"/>
  <c r="R117" i="7"/>
  <c r="R99" i="7"/>
  <c r="R72" i="7"/>
  <c r="R87" i="7"/>
  <c r="R129" i="7"/>
  <c r="R73" i="7"/>
  <c r="R24" i="7"/>
  <c r="R12" i="7"/>
  <c r="R51" i="7"/>
  <c r="R59" i="7"/>
  <c r="R41" i="7"/>
  <c r="R137" i="7"/>
  <c r="R108" i="7"/>
  <c r="R89" i="7"/>
  <c r="R132" i="7"/>
  <c r="R123" i="7"/>
  <c r="R121" i="7"/>
  <c r="R15" i="7"/>
  <c r="R14" i="7"/>
  <c r="R53" i="7"/>
  <c r="R43" i="7"/>
  <c r="R50" i="7"/>
  <c r="R36" i="7"/>
  <c r="R25" i="7"/>
  <c r="R64" i="7"/>
  <c r="R100" i="7"/>
  <c r="R81" i="7"/>
  <c r="R125" i="7"/>
  <c r="R113" i="7"/>
  <c r="R111" i="7"/>
  <c r="R4" i="7"/>
  <c r="R69" i="7"/>
  <c r="R22" i="7"/>
  <c r="R30" i="7"/>
  <c r="R28" i="7"/>
  <c r="R26" i="7"/>
  <c r="R127" i="7"/>
  <c r="R74" i="7"/>
  <c r="R97" i="7"/>
  <c r="R104" i="7"/>
  <c r="R102" i="7"/>
  <c r="R119" i="7"/>
  <c r="R63" i="7"/>
  <c r="R11" i="7"/>
  <c r="R20" i="7"/>
  <c r="R18" i="7"/>
  <c r="R16" i="7"/>
  <c r="R138" i="7"/>
  <c r="R139" i="7"/>
  <c r="R2" i="7"/>
  <c r="F141" i="7"/>
  <c r="M141" i="7"/>
  <c r="P141" i="7"/>
  <c r="G141" i="7"/>
  <c r="K141" i="7"/>
  <c r="H141" i="7"/>
  <c r="I141" i="7"/>
  <c r="L141" i="7"/>
  <c r="N141" i="7"/>
  <c r="D141" i="7"/>
  <c r="O141" i="7"/>
  <c r="E141" i="7"/>
  <c r="J141" i="7"/>
  <c r="Q141" i="7"/>
  <c r="R141"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<sst xmlns="http://schemas.openxmlformats.org/spreadsheetml/2006/main" count="1489" uniqueCount="362">
  <si>
    <t>CalAIM Specialty Mental Health Outpatient Services Fiscal Impact Model</t>
  </si>
  <si>
    <t>Overview</t>
  </si>
  <si>
    <r>
      <t xml:space="preserve">The purpose of this fiscal impact model is to estimate the gross Medi-Cal billings for Medi-Cal Specialty Mental Health Services. Counties input their hourly provider/practitioner rates and CPT/HCPC code units of service for each provider/practitioner type. CalMHSA has identified the primary CPT/HCPC codes that are applicable to most counties. These CPT/HCPC codes are identified by a "Yes" in the column titled "Frequently Used" in the Code Minutes tab. Counties may wish to use additional codes which can be found by selecting all rows in the "Frequently Used" column and/or modifying the "No" classification to a "Yes" in the Code Minutes tab. Counties should refer to the </t>
    </r>
    <r>
      <rPr>
        <i/>
        <sz val="11"/>
        <color theme="1"/>
        <rFont val="Calibri"/>
        <family val="2"/>
        <scheme val="minor"/>
      </rPr>
      <t>DHCS Medi-Cal Billing Manual</t>
    </r>
    <r>
      <rPr>
        <sz val="11"/>
        <color theme="1"/>
        <rFont val="Calibri"/>
        <family val="2"/>
        <scheme val="minor"/>
      </rPr>
      <t xml:space="preserve"> and/or the </t>
    </r>
    <r>
      <rPr>
        <i/>
        <sz val="11"/>
        <color theme="1"/>
        <rFont val="Calibri"/>
        <family val="2"/>
        <scheme val="minor"/>
      </rPr>
      <t>CalAIM Reference Guide for CPT Codes</t>
    </r>
    <r>
      <rPr>
        <sz val="11"/>
        <color theme="1"/>
        <rFont val="Calibri"/>
        <family val="2"/>
        <scheme val="minor"/>
      </rPr>
      <t xml:space="preserve"> for a description of the rules associated with the different CPT/HCPC codes.</t>
    </r>
  </si>
  <si>
    <t>Instructions</t>
  </si>
  <si>
    <t>Copy your draft FY23-24 provider/practitioner hourly rates into the Provider Rates tab. The hourly rates were developed by the State Department of Health Care Services and made available to counties via instructions provided in an email.</t>
  </si>
  <si>
    <t xml:space="preserve">Enter the units of service associated with each CPT/HCPC code and each provider/practitioner type in the "Units" tab. Counties should consider using historical units from their EHR based on direct patient care time.  </t>
  </si>
  <si>
    <t>The fiscal impact model calculates the gross Medi-Cal billings associated with the rates and units in the "revenue" tab, cell S141.</t>
  </si>
  <si>
    <t>Considerations</t>
  </si>
  <si>
    <t>Units must be whole numbers in CalAIM.</t>
  </si>
  <si>
    <t xml:space="preserve">The units associated with group services will most likely be calculated by having one unit associated with each participant in the group and adjusting the rate for the total number of group participants or an average number of group participants as determined by DHCS (currently proposed to be six). For ease in the model, counties can adjust the units to represent partial units based on the number of estimated group participants (or use the current proposed average of six). </t>
  </si>
  <si>
    <t>Different CPT codes have different minute values (they are not all 15 minutes, although many are 15 minute increments).</t>
  </si>
  <si>
    <t>The minutes associated with each CPT/HCPC code must relate to direct patient care time.</t>
  </si>
  <si>
    <t>Direct Patient Care: If the service code billed is a patient care code, direct patient care means time spent with the patient for the purpose of providing healthcare. If the service code billed is a medical consultation code, then direct patient care means time spent with the consultant/members of the beneficiary’s care team. Direct patient care does not include travel time, administrative activities, chart review, documentation, utilization review, quality assurance activities, or other activities a provider engages in either before or after a patient visit.</t>
  </si>
  <si>
    <t xml:space="preserve">Counties modeling with historic data and their EHR only has a single value for minutes/duration (travel and documentation time not segregated) they would need to estimate direct patient care time percentage and use that in their calculations. CalMHSA recommends the following direct patient care percentages if a county does not have its own estimates: psychiatrists-80% of historical minutes are direct patient care, mental health rehab specialists and peer recovery specialists-65% of historical minutes are direct patient care, all other providers/practitioner types-70% of historical minutes are direct patient care. </t>
  </si>
  <si>
    <t>A single historical HCPCS-coded service could map to more than one CPT-coded services.</t>
  </si>
  <si>
    <t>If a county cannot easily identify whether the client is new or existing, assume the client is existing.</t>
  </si>
  <si>
    <t>The estimated revenue reflects total gross Medi-Cal billings. Counties can estimate their anticipated federal and/or state revenue by excluding anticipated third party revenue and applying their estimated FMAP and SGF reimbursement percentages.</t>
  </si>
  <si>
    <t>Tab Descriptions</t>
  </si>
  <si>
    <t xml:space="preserve">Units-Counties enter the CPT/HCPC code units of service for each provider/practitioner type on this tab. </t>
  </si>
  <si>
    <t>Revenue-This tab calculates total gross Medi-Cal billings by multiplying the units by the code rates.</t>
  </si>
  <si>
    <t>Code Rates-This tab calculates the rate for each CPT/HCPC code and provider/practitioner type by multiplying the code minutes by the provider rates.</t>
  </si>
  <si>
    <t>Code Minutes-This tab shows the number of minutes used by DHCS each CPT/HCPC code. This tab also shows "Frequently Used" codes, which can be modified by the county.</t>
  </si>
  <si>
    <t>Provider Rates-Counties copy the provider/practitioner rates provided by DHCS into this tab. This tab calculates the per minute rate for each provider/practitioner type.</t>
  </si>
  <si>
    <t>Frequently Used</t>
  </si>
  <si>
    <t>Billing Code</t>
  </si>
  <si>
    <t>Code Description</t>
  </si>
  <si>
    <t>Psychiatrist/ Contracted Psychiatrist</t>
  </si>
  <si>
    <t>Physicians Assistant</t>
  </si>
  <si>
    <t>Nurse Practitioner</t>
  </si>
  <si>
    <t>RN</t>
  </si>
  <si>
    <t>LVN</t>
  </si>
  <si>
    <t>Pharmacist</t>
  </si>
  <si>
    <t>Licensed Psychiatric Technician</t>
  </si>
  <si>
    <t>Psychologist/Pre-licensed Psychologist</t>
  </si>
  <si>
    <t>Occupational Therapist</t>
  </si>
  <si>
    <t>Mental Health Rehab Specialist</t>
  </si>
  <si>
    <t>Peer Recovery Specialist</t>
  </si>
  <si>
    <t>Other Qualified Providers - Other Designated MH staff that bill medical</t>
  </si>
  <si>
    <t>Total</t>
  </si>
  <si>
    <t>90785</t>
  </si>
  <si>
    <t>Interactive Complexity</t>
  </si>
  <si>
    <t>90791</t>
  </si>
  <si>
    <t>Psychiatric Diagnostic Evaluation, 15 Minutes</t>
  </si>
  <si>
    <t>90792</t>
  </si>
  <si>
    <t>Psychiatric Diagnostic Evaluation with Medical Services, 15 Minutes</t>
  </si>
  <si>
    <t>90832</t>
  </si>
  <si>
    <t>Psychotherapy, 30 Minutes with Patient</t>
  </si>
  <si>
    <t>90833</t>
  </si>
  <si>
    <t>Psychotherapy, 30 Minutes with Patient when Performed with an Evaluation and Management Service</t>
  </si>
  <si>
    <t>90834</t>
  </si>
  <si>
    <t>Psychotherapy, 45 Minutes with Patient</t>
  </si>
  <si>
    <t>90836</t>
  </si>
  <si>
    <t>Psychotherapy, 45 Minutes with Patient when Performed with an Evaluation and Management Service</t>
  </si>
  <si>
    <t>90837</t>
  </si>
  <si>
    <t>Psychotherapy, 60 Minutes with Patient</t>
  </si>
  <si>
    <t>90838</t>
  </si>
  <si>
    <t>Psychotherapy, 60 Minutes with Patient when Performed with an Evaluation and Management Service</t>
  </si>
  <si>
    <t>90839</t>
  </si>
  <si>
    <t>Psychotherapy for Crisis, First 30-74 Minutes</t>
  </si>
  <si>
    <t>90840</t>
  </si>
  <si>
    <t>Psychotherapy for Crisis, Each Additional 30 Minutes</t>
  </si>
  <si>
    <t>90845</t>
  </si>
  <si>
    <t>Psychoanalysis, 15 Minutes</t>
  </si>
  <si>
    <t>90847</t>
  </si>
  <si>
    <t>Family Psychotherapy (Conjoint psychotherapy with Patient Present), 26-50 minutes</t>
  </si>
  <si>
    <t>90849</t>
  </si>
  <si>
    <t>Multiple-Family Group Psychotherapy, 15 Minutes</t>
  </si>
  <si>
    <t>90853</t>
  </si>
  <si>
    <t>Group Psychotherapy (Other Than of a Multiple-Family Group), 15 Minutes</t>
  </si>
  <si>
    <t>90865</t>
  </si>
  <si>
    <t>Narcosynthesis for Psychiatric Diagnostic and Therapeutic Purposes, 15 Minutes</t>
  </si>
  <si>
    <t>90867</t>
  </si>
  <si>
    <t>Therapeutic Repetitive Transcranial Magnetic Stimulation (TMS) Treatment; Initial, Including Cortical Mapping, Motor Threshold Determination, Delivery and Management</t>
  </si>
  <si>
    <t>90868</t>
  </si>
  <si>
    <t>Subsequent Delivery and Management of TMS, per Session</t>
  </si>
  <si>
    <t>90869</t>
  </si>
  <si>
    <t>TMS Treatment Subsequent Motor Threshold Re-Determination with Delivery and Management</t>
  </si>
  <si>
    <t>90870</t>
  </si>
  <si>
    <t>Electroconvulsive Therapy (Includes Necessary Monitoring)</t>
  </si>
  <si>
    <t>90880</t>
  </si>
  <si>
    <t>Hypnotherapy</t>
  </si>
  <si>
    <t>90885</t>
  </si>
  <si>
    <t>Psychiatric Evaluation of Hospital Records, Other Psychiatric Reports, Psychometric and/or Projective Tests, and Other Accumulated Data for Medical Diagnostic Purposes, 15 Minutes</t>
  </si>
  <si>
    <t>90887</t>
  </si>
  <si>
    <t>Interpretation or Explanation of Results of Psychiatric or Other Medical Procedures to Family or Other Responsible Persons, 15 Minutes</t>
  </si>
  <si>
    <t>96105</t>
  </si>
  <si>
    <t>Assessment of Aphasia, per Hour</t>
  </si>
  <si>
    <t>96110</t>
  </si>
  <si>
    <t>Developmental Screening, 15 Minutes</t>
  </si>
  <si>
    <t>96112</t>
  </si>
  <si>
    <t>Developmental Testing, First Hour</t>
  </si>
  <si>
    <t>96113</t>
  </si>
  <si>
    <t>Developmental Testing, Each Additional 30 Minutes</t>
  </si>
  <si>
    <t>96116</t>
  </si>
  <si>
    <t>Neurobehavioral Status Exam, First Hour</t>
  </si>
  <si>
    <t>96121</t>
  </si>
  <si>
    <t>Neurobehavioral Status Exam, Each Additional Hour</t>
  </si>
  <si>
    <t>96125</t>
  </si>
  <si>
    <t>Standardized Cognitive Performance Testing, per Hour</t>
  </si>
  <si>
    <t>96127</t>
  </si>
  <si>
    <t>Brief Emotional/Behavioral Assessment, 15 Minutes</t>
  </si>
  <si>
    <t>96130</t>
  </si>
  <si>
    <t>Psychological Testing Evaluation, First Hour</t>
  </si>
  <si>
    <t>96131</t>
  </si>
  <si>
    <t>Psychological Testing Evaluation, Each Additional Hour</t>
  </si>
  <si>
    <t>96132</t>
  </si>
  <si>
    <t>Neuropsychological Testing Evaluation, First Hour</t>
  </si>
  <si>
    <t>96133</t>
  </si>
  <si>
    <t>Neuropsychological Testing Evaluation, Each Additional Hour</t>
  </si>
  <si>
    <t>96136</t>
  </si>
  <si>
    <t>Psychological or Neuropsychological Test Administration, First 30 Minutes</t>
  </si>
  <si>
    <t>96137</t>
  </si>
  <si>
    <t>Psychological or Neuropsychological Test Administration, Each Additional 30 Minutes</t>
  </si>
  <si>
    <t>96138</t>
  </si>
  <si>
    <t>Psychological or Neuropsychological Test Administration by Technician, First 30 Minutes</t>
  </si>
  <si>
    <t>96139</t>
  </si>
  <si>
    <t>96146</t>
  </si>
  <si>
    <t>Psychological or Neuropsychological Test Administration, 15 Minutes</t>
  </si>
  <si>
    <t>96161</t>
  </si>
  <si>
    <t>Caregiver Assessment Administratio n of Care- Giver Focused Risk Assessment, 15 Minutes</t>
  </si>
  <si>
    <t>96365</t>
  </si>
  <si>
    <t>Intravenous Infusion, for Therapy, Prophylaxis, or Diagnosis, 1-60 Minutes</t>
  </si>
  <si>
    <t>96366</t>
  </si>
  <si>
    <t>Intravenous Infusion, for Therapy, Prophylaxis, Each Additional 30-60 Minutes past 96365</t>
  </si>
  <si>
    <t>96367</t>
  </si>
  <si>
    <t>Intravenous Infusion, for Therapy, Prophylaxis, or Diagnosis; Additional Sequential Infusion, 1-60 Minutes after 96365</t>
  </si>
  <si>
    <t>96368</t>
  </si>
  <si>
    <t>Intravenous Infusion, for Therapy, Prophylaxis, or Diagnosis; Concurrent Infusion, 15 Minutes</t>
  </si>
  <si>
    <t>96369</t>
  </si>
  <si>
    <t>Subcutaneous Infusion for Therapy or Prophylaxis, Initial, 15-60 Minutes</t>
  </si>
  <si>
    <t>96370</t>
  </si>
  <si>
    <t>Subcutaneous Infusion for Therapy or Prophylaxis, Each Additional 30-60 Minutes after 96369</t>
  </si>
  <si>
    <t>96371</t>
  </si>
  <si>
    <t>Subcutaneous Infusion for Therapy or Prophylaxis, Additional Pump Set-Up, 15 Minutes</t>
  </si>
  <si>
    <t>96372</t>
  </si>
  <si>
    <t>Therapeutic, Prophylactic, or Diagnostic Injection; Subcutaneous or Intramuscular, 15 Minutes. Do not use this code to indicate administration of vaccines/toxoids or intradermal cancer immunotherapy injection.</t>
  </si>
  <si>
    <t>96373</t>
  </si>
  <si>
    <t>Therapeutic, Prophylactic, or Diagnostic Injection; Intra- Arterial, 15 Minutes</t>
  </si>
  <si>
    <t>96374</t>
  </si>
  <si>
    <t>Therapeutic, Prophylactic, or Diagnostic Injection; Intravenous Push, Single or Initial Substance/Drug, 15 Minutes</t>
  </si>
  <si>
    <t>96375</t>
  </si>
  <si>
    <t>Therapeutic, Prophylactic, or Diagnostic Injection; Each Additional Sequential Intravenous Push of a New Substance/Drug, 15 Minutes</t>
  </si>
  <si>
    <t>96376</t>
  </si>
  <si>
    <t>Therapeutic, Prophylactic, or Diagnostic Injection; Each Additional Sequential Intravenous Drug Provided in a Facility; Has to be More than 30 Minutes after a Reported Push of the Same Drug, 1- 14 Minutes</t>
  </si>
  <si>
    <t>96377</t>
  </si>
  <si>
    <t>Application of On- body Injector for Timed Subcutaneous Injection, 15 Minutes</t>
  </si>
  <si>
    <t>98966</t>
  </si>
  <si>
    <t>Telephone Assessment and Management Service, 5-10 Minutes</t>
  </si>
  <si>
    <t>98967</t>
  </si>
  <si>
    <t>Telephone Assessment and Management Service, 11-20 Minutes</t>
  </si>
  <si>
    <t>98968</t>
  </si>
  <si>
    <t>Telephone Assessment and Management Service, 21-30 Minutes</t>
  </si>
  <si>
    <t>99202</t>
  </si>
  <si>
    <t>Office or Other Outpatient Visit of New Patient, 15-29 Minutes</t>
  </si>
  <si>
    <t>99203</t>
  </si>
  <si>
    <t>Office or Other Outpatient Visit of a New patient, 30- 44 Minutes</t>
  </si>
  <si>
    <t>99204</t>
  </si>
  <si>
    <t>Office or Other Outpatient Visit of a New Patient, 45- 59 Minutes</t>
  </si>
  <si>
    <t>99205</t>
  </si>
  <si>
    <t>Office or Other Outpatient Visit of a New Patient, 60- 74 Minutes</t>
  </si>
  <si>
    <t>99212</t>
  </si>
  <si>
    <t>Office or Other Outpatient Visit of an Established Patient, 10-19 Minutes</t>
  </si>
  <si>
    <t>99213</t>
  </si>
  <si>
    <t>Office or Other Outpatient Visit of an Established Patient, 20-29 Minutes</t>
  </si>
  <si>
    <t>99214</t>
  </si>
  <si>
    <t>Office or Other Outpatient Visit of an Established Patient, 30-39 Minutes</t>
  </si>
  <si>
    <t>99215</t>
  </si>
  <si>
    <t>Office or Other Outpatient Visit of an Established Patient, 40-54 Minutes</t>
  </si>
  <si>
    <t>99217</t>
  </si>
  <si>
    <t>Observation Care Discharge Day Management, 15 Minutes</t>
  </si>
  <si>
    <t>99218</t>
  </si>
  <si>
    <t>Initial Observation Care, per Day, for the Evaluation and Management of a Patient, 20-39 Minutes</t>
  </si>
  <si>
    <t>99219</t>
  </si>
  <si>
    <t>Initial Observation Care, per Day, for the Evaluation and Management of a Patient, 40-59 Minutes</t>
  </si>
  <si>
    <t>99220</t>
  </si>
  <si>
    <t>Initial Observation Care, per Day, for the Evaluation and Management of a Patient, 60-79 Minutes</t>
  </si>
  <si>
    <t>99221</t>
  </si>
  <si>
    <t>Initial hospital care, per day, for the evaluation and management of a patient. Usually, the problem(s) requiring admission are of low severity. 20- 39 minutes</t>
  </si>
  <si>
    <t>99222</t>
  </si>
  <si>
    <t>Initial hospital care, per day, for the evaluation and management of a patient. Usually, the problem(s) requiring admission are of moderate severity. 40-59 mins</t>
  </si>
  <si>
    <t>99223</t>
  </si>
  <si>
    <t>Initial hospital care, per day, for the evaluation and management of a patient. Usually, the problem(s) requiring admission are of high severity. (60- 79 mins)</t>
  </si>
  <si>
    <t>99231</t>
  </si>
  <si>
    <t>Subsequent Hospital Care, per Day, for the Evaluation and Management of a Patient. Usually, Patient is Stable, Recovering or Improving, 6-19 Minutes</t>
  </si>
  <si>
    <t>99232</t>
  </si>
  <si>
    <t>Subsequent Hospital Care, per Day, for the Evaluation and Management of a Patient. Usually, the Patient is Responding Inadequately to Therapy or has Developed a Minor Complication, 20- 29 Minutes</t>
  </si>
  <si>
    <t>99233</t>
  </si>
  <si>
    <t>Subsequent Hospital Care, per Day, for the Evaluation and Management of a Patient. Usually, the Patient is Unstable or has Developed a Significant New Problem, 30-40 Minutes</t>
  </si>
  <si>
    <t>99234</t>
  </si>
  <si>
    <t>Observation or Inpatient Hospital Care, Including Admission and Discharge on the Same Date, 35-44 Minutes</t>
  </si>
  <si>
    <t>99235</t>
  </si>
  <si>
    <t>Observation or Inpatient Hospital Care, Including Admission and Discharge on the Same Date, 45-53 minutes</t>
  </si>
  <si>
    <t>99236</t>
  </si>
  <si>
    <t>Observation or Inpatient Hospital Care, Including Admission and Discharge on the Same Date, 54-60 Minutes</t>
  </si>
  <si>
    <t>99241</t>
  </si>
  <si>
    <t>Office Consultation for New or Established Patient. Usually, the Presenting Problem(s) are Self-Limited or Minor, 10-20 Minutes</t>
  </si>
  <si>
    <t>99242</t>
  </si>
  <si>
    <t>Office Consultation for a New or Established Patient. Usually, the Presenting Problem(s) are of Low Severity, 21- 34 Minutes</t>
  </si>
  <si>
    <t>99243</t>
  </si>
  <si>
    <t>Office Consultation for a New or Established Patient. Usually, the Presenting Problem(s) are of Moderate Severity, 35-49 Minutes</t>
  </si>
  <si>
    <t>99244</t>
  </si>
  <si>
    <t>Office Consultation for a New or Established Patient. Usually, the Presenting Problem(s) are of Moderate to High Severity, 50-70 Minutes</t>
  </si>
  <si>
    <t>99245</t>
  </si>
  <si>
    <t>Office Consultation for a New or Established Patient. Usually, the Presenting Problem(s) are of Moderate to High Severity, 71-90 Minutes</t>
  </si>
  <si>
    <t>99251</t>
  </si>
  <si>
    <t>Inpatient Consultation for a New or Established Patient. Usually, the Presenting Problems(s) are Self-Limited or Minor, 16-29 Minutes</t>
  </si>
  <si>
    <t>99252</t>
  </si>
  <si>
    <t>Inpatient Consultation for a New or Established Patient. Usually, the Presenting Problems(s) are of Low Severity, 30- 49 Minutes</t>
  </si>
  <si>
    <t>99253</t>
  </si>
  <si>
    <t>Inpatient Consultation for a New or Established Patient. Usually, the Presenting Problems(s) are of Moderate Severity, 50-69 Minutes</t>
  </si>
  <si>
    <t>99254</t>
  </si>
  <si>
    <t>Inpatient Consultation for a New or Established Patient. Usually, the Presenting Problems(s) are of Moderate to High Severity, 70-90 Minutes</t>
  </si>
  <si>
    <t>99255</t>
  </si>
  <si>
    <t>Office Consultation for a New or Established Patient. Usually, the Presenting Problem(s) are of Moderate to High Severity, 91-130 Minutes</t>
  </si>
  <si>
    <t>99304</t>
  </si>
  <si>
    <t>Initial Nursing Facility Care per Day, for the Evaluation and Management of a Patient. Usually, the Problem(s) requiring Admission are of Low Severity, 16- 29 Minutes</t>
  </si>
  <si>
    <t>99305</t>
  </si>
  <si>
    <t>Initial Nursing Facility Care per Day, for the Evaluation and Management of a Patient. Usually, the Problem(s) Requiring Admission are of Moderate Severity, 30-39 Minutes</t>
  </si>
  <si>
    <t>99306</t>
  </si>
  <si>
    <t>Initial Nursing Facility Care per Day, for the Evaluation and Management of a Patient. Usually, the Problem(s) Requiring Admission are of High Severity, 40- 60 Minutes</t>
  </si>
  <si>
    <t>99307</t>
  </si>
  <si>
    <t>Subsequent Nursing Facility Care per Day for the Evaluation and Management of a Patient. Usually, the Patient is Stable, Recovering or Improving, 1-12 Minutes</t>
  </si>
  <si>
    <t>99308</t>
  </si>
  <si>
    <t>Initial Nursing Facility Care per Day, for the Evaluation and Management of a Patient. Usually, the Patient is Responding Inadequately to Therapy or Has Developed a Minor Complication, 13- 19 Minutes</t>
  </si>
  <si>
    <t>99309</t>
  </si>
  <si>
    <t>Initial Nursing Facility Care per Day, for the Evaluation and Management of a Patient. Usually, the Patient has Developed a Significant Complication or a Significant New Problem, 20-29 Minutes</t>
  </si>
  <si>
    <t>99310</t>
  </si>
  <si>
    <t>Initial Nursing Facility Care per Day, for the Evaluation and Management of a Patient. The Patient May Be Unstable or May Have Developed a Significant New Problem Requiring Immediate Physician Attention, 30-40 Minutes</t>
  </si>
  <si>
    <t>99324</t>
  </si>
  <si>
    <t>Domiciliary or Rest Home Visit of a New Patient, 15-25 Minutes</t>
  </si>
  <si>
    <t>99325</t>
  </si>
  <si>
    <t>Domiciliary or Rest Home Visit of a New Patient, 26-35 Minutes</t>
  </si>
  <si>
    <t>99326</t>
  </si>
  <si>
    <t>Domiciliary or Rest Home Visit of a New Patient, 36-50 Minutes</t>
  </si>
  <si>
    <t>99327</t>
  </si>
  <si>
    <t>Domiciliary or Rest Home Visit of a New Patient, 51-65 Minutes</t>
  </si>
  <si>
    <t>99328</t>
  </si>
  <si>
    <t>Domiciliary or Rest Home Visit of a New Patient, 66-80 Minutes</t>
  </si>
  <si>
    <t>99334</t>
  </si>
  <si>
    <t>Domiciliary or Rest Home Visit of an Established Patient, 10-20 Minutes</t>
  </si>
  <si>
    <t>99335</t>
  </si>
  <si>
    <t>Domiciliary or Rest Home Visit of an Established Patient, 21-35 Minutes</t>
  </si>
  <si>
    <t>99336</t>
  </si>
  <si>
    <t>Domiciliary or Rest Home Visit of an Established Patient, 36-50 Minutes</t>
  </si>
  <si>
    <t>99337</t>
  </si>
  <si>
    <t>Domiciliary or Rest Home Visit of an Established Patient, 51-70 Minutes</t>
  </si>
  <si>
    <t>99341</t>
  </si>
  <si>
    <t>Home Visit of a New Patient, 15-25 Minutes</t>
  </si>
  <si>
    <t>99342</t>
  </si>
  <si>
    <t>Home Visit of a New Patient, 26-35 Minutes</t>
  </si>
  <si>
    <t>99343</t>
  </si>
  <si>
    <t>Home Visit of a New Patient, 36-50 Minutes</t>
  </si>
  <si>
    <t>99344</t>
  </si>
  <si>
    <t>Home Visit of a New Patient, 51-65 Minutes</t>
  </si>
  <si>
    <t>99345</t>
  </si>
  <si>
    <t>Home Visit of a New Patient, 66-80 Minutes</t>
  </si>
  <si>
    <t>99347</t>
  </si>
  <si>
    <t>Home Visit of an Established Patient, 10-20 Minutes</t>
  </si>
  <si>
    <t>99348</t>
  </si>
  <si>
    <t>Home Visit of an Established Patient, 21-35 Minutes</t>
  </si>
  <si>
    <t>99349</t>
  </si>
  <si>
    <t>Home Visit of an Established Patient, 36-50 Minutes</t>
  </si>
  <si>
    <t>99350</t>
  </si>
  <si>
    <t>Home Visit of an Established Patient, 51-70 Minutes</t>
  </si>
  <si>
    <t>99366</t>
  </si>
  <si>
    <t>Medical Team Conference with Interdisciplinary Team of Health Care Professionals, Participation by Non- Physician. Face-to-face with Patient and/or Family. 30 Minutes or More</t>
  </si>
  <si>
    <t>99367</t>
  </si>
  <si>
    <t>Medical Team Conference with Interdisciplinary Team of Health Care Professionals, Participation by Physician. Patient and/or Family not Present. 30 Minutes or More</t>
  </si>
  <si>
    <t>99368</t>
  </si>
  <si>
    <t>Medical Team Conference with Interdisciplinary Team of Health Care Professionals, Participation by Non- Physician. Patient and/or Family Not Present. 30 Minutes or More</t>
  </si>
  <si>
    <t>99441</t>
  </si>
  <si>
    <t>Telephone Evaluation and Management Service, 5-10 Minutes</t>
  </si>
  <si>
    <t>99442</t>
  </si>
  <si>
    <t>Telephone Evaluation and Management Service, 11-20 Minutes</t>
  </si>
  <si>
    <t>99443</t>
  </si>
  <si>
    <t>Telephone Evaluation and Management Service, 21-30 Minutes</t>
  </si>
  <si>
    <t>99451</t>
  </si>
  <si>
    <t>Inter-Professional Telephone/Internet/ Electronic Health Record Assessment Provided by a Consultative Physician, 5-15 Minutes</t>
  </si>
  <si>
    <t>99484</t>
  </si>
  <si>
    <t>Care Management Services for Behavioral Health Conditions, Directed by Physician. At Least 20 Minutes</t>
  </si>
  <si>
    <t>99605</t>
  </si>
  <si>
    <t>Medication Therapy Management Service(s) Provided by a Pharmacist, Individual, Face-to- Face with New Patient with Assessment and Intervention, 15 Minutes</t>
  </si>
  <si>
    <t>99606</t>
  </si>
  <si>
    <t>Medication Therapy Management Service(s) Provided by a Pharmacist, Individual, Face-to- Face with Established Patient with Assessment and Intervention, 15 Minutes</t>
  </si>
  <si>
    <t>99607</t>
  </si>
  <si>
    <t>Medication Therapy Management Service(s) Provided by a Pharmacist, Individual, Face-to- Face with Patient with Assessment and Intervention, each Additional 15 Minutes beyond 99605 or 99606.</t>
  </si>
  <si>
    <t>G2212</t>
  </si>
  <si>
    <t>Prolonged Office or Other Outpatient Evaluation and Management Service(s) beyond the Maximum Time; Each Additional 15 Minutes</t>
  </si>
  <si>
    <t>H0025</t>
  </si>
  <si>
    <t>Behavioral health prevention education service (delivery of services with target population to affect knowledge, attitude and/or behavior)</t>
  </si>
  <si>
    <t>H0031</t>
  </si>
  <si>
    <t>Mental Health Assessment by Non- Physician, 15 Minutes</t>
  </si>
  <si>
    <t>H0032</t>
  </si>
  <si>
    <t>Mental Health Service Plan Developed by Non-Physician, 15 Minutes</t>
  </si>
  <si>
    <t>H0033</t>
  </si>
  <si>
    <t>Oral Medication Administration, Direct Observation, 15 Minutes</t>
  </si>
  <si>
    <t>H0034</t>
  </si>
  <si>
    <t>Medication Training and Support, per 15 Minutes</t>
  </si>
  <si>
    <t>H0038</t>
  </si>
  <si>
    <t>Self-help/peer services, per 15 minutes</t>
  </si>
  <si>
    <t>H2000</t>
  </si>
  <si>
    <t>Comprehensive Multidisciplinary Evaluation, 15 Minutes</t>
  </si>
  <si>
    <t>H2011</t>
  </si>
  <si>
    <t>Crisis Intervention Service, per 15 Minutes</t>
  </si>
  <si>
    <t>H2017</t>
  </si>
  <si>
    <t>Psychosocial Rehabilitation, per 15 Minutes</t>
  </si>
  <si>
    <t>H2019</t>
  </si>
  <si>
    <t>Therapeutic Behavioral Services, per 15 Minutes</t>
  </si>
  <si>
    <t>H2021</t>
  </si>
  <si>
    <t>Community-Based Wrap-Around Services, per 15 Minutes</t>
  </si>
  <si>
    <t>T1001</t>
  </si>
  <si>
    <t>Nursing Assessment/Evaluation, 15 Minutes</t>
  </si>
  <si>
    <t>T1013</t>
  </si>
  <si>
    <t>Sign Language or Oral Interpretive Services, 15 Minutes</t>
  </si>
  <si>
    <t>T1017</t>
  </si>
  <si>
    <t>Targeted Case Management, Each 15 Minutes</t>
  </si>
  <si>
    <t>Code</t>
  </si>
  <si>
    <t>Description</t>
  </si>
  <si>
    <t>Minutes</t>
  </si>
  <si>
    <t>Yes</t>
  </si>
  <si>
    <t>15</t>
  </si>
  <si>
    <t>30</t>
  </si>
  <si>
    <t>No</t>
  </si>
  <si>
    <t>45</t>
  </si>
  <si>
    <t>60</t>
  </si>
  <si>
    <t>52</t>
  </si>
  <si>
    <t>50</t>
  </si>
  <si>
    <t>31</t>
  </si>
  <si>
    <t>38</t>
  </si>
  <si>
    <t>8</t>
  </si>
  <si>
    <t>16</t>
  </si>
  <si>
    <t>26</t>
  </si>
  <si>
    <t>22</t>
  </si>
  <si>
    <t>37</t>
  </si>
  <si>
    <t>67</t>
  </si>
  <si>
    <t>25</t>
  </si>
  <si>
    <t>35</t>
  </si>
  <si>
    <t>47</t>
  </si>
  <si>
    <t>70</t>
  </si>
  <si>
    <t>13</t>
  </si>
  <si>
    <t>40</t>
  </si>
  <si>
    <t>49</t>
  </si>
  <si>
    <t>57</t>
  </si>
  <si>
    <t>28</t>
  </si>
  <si>
    <t>42</t>
  </si>
  <si>
    <t>81</t>
  </si>
  <si>
    <t>23</t>
  </si>
  <si>
    <t>80</t>
  </si>
  <si>
    <t>111</t>
  </si>
  <si>
    <t>6.5</t>
  </si>
  <si>
    <t>20</t>
  </si>
  <si>
    <t>43</t>
  </si>
  <si>
    <t>58</t>
  </si>
  <si>
    <t>73</t>
  </si>
  <si>
    <t>61</t>
  </si>
  <si>
    <t>10</t>
  </si>
  <si>
    <t>Provider Type</t>
  </si>
  <si>
    <t>Rate Per Hour</t>
  </si>
  <si>
    <t>Rate Per Minute</t>
  </si>
  <si>
    <t>Certified Nurse Specialist</t>
  </si>
  <si>
    <t>LPHA (MFT  LCSW  LPCC)/ Intern or Waivered LPHA (MFT  LCSW  LPCC)</t>
  </si>
  <si>
    <t>Last updated: 11/17/2022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</si>
</sst>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5" x14ac:knownFonts="1">
    <font>
      <sz val="11"/>
      <color theme="1"/>
      <name val="Calibri"/>
      <family val="2"/>
      <scheme val="minor"/>
    </font>
    <font>
      <sz val="11"/>
      <color rgb="FF006100"/>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s>
  <fills count="3">
    <fill>
      <patternFill patternType="none"/>
    </fill>
    <fill>
      <patternFill patternType="gray125"/>
    </fill>
    <fill>
      <patternFill patternType="solid">
        <fgColor rgb="FFC6EFCE"/>
      </patternFill>
    </fill>
  </fills>
  <borders count="1">
    <border>
      <left/>
      <right/>
      <top/>
      <bottom/>
      <diagonal/>
    </border>
  </borders>
  <cellStyleXfs count="1">
    <xf numFmtId="0" fontId="0" fillId="0" borderId="0"/>
  </cellStyleXfs>
  <cellXfs count="16">
    <xf numFmtId="0" fontId="0" fillId="0" borderId="0" xfId="0"/>
    <xf numFmtId="0" fontId="0" fillId="0" borderId="0" xfId="0" applyAlignment="1">
      <alignment horizontal="center" vertical="center" wrapText="1"/>
    </xf>
    <xf numFmtId="1" fontId="0" fillId="0" borderId="0" xfId="0" applyNumberFormat="1" applyAlignment="1">
      <alignment horizontal="center"/>
    </xf>
    <xf numFmtId="0" fontId="0" fillId="0" borderId="0" xfId="0" applyAlignment="1">
      <alignment horizontal="center"/>
    </xf>
    <xf numFmtId="164" fontId="0" fillId="0" borderId="0" xfId="0" applyNumberFormat="1"/>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horizontal="left" vertical="top"/>
    </xf>
    <xf numFmtId="0" fontId="0" fillId="0" borderId="0" xfId="0" applyAlignment="1">
      <alignment vertical="top"/>
    </xf>
    <xf numFmtId="0" fontId="0" fillId="0" borderId="0" xfId="0" applyAlignment="1">
      <alignment wrapText="1"/>
    </xf>
    <xf numFmtId="0" fontId="4" fillId="0" borderId="0" xfId="0" applyFont="1"/>
    <xf numFmtId="0" fontId="2" fillId="0" borderId="0" xfId="0" applyFont="1"/>
    <xf numFmtId="164" fontId="1" fillId="2" borderId="0" xfId="0" applyNumberFormat="1" applyFont="1" applyFill="1" applyAlignment="1">
      <alignment horizontal="center"/>
    </xf>
    <xf numFmtId="0" fontId="0" fillId="0" borderId="0" xfId="0" applyAlignment="1">
      <alignment horizontal="right"/>
    </xf>
    <xf numFmtId="0" fontId="2" fillId="0" borderId="0" xfId="0" applyFont="1" applyAlignment="1">
      <alignment horizontal="center"/>
    </xf>
    <xf numFmtId="0" fontId="0" fillId="0" borderId="0" xfId="0" applyAlignment="1">
      <alignment horizontal="left" wrapText="1"/>
    </xf>
  </cellXfs>
  <cellStyles count="1">
    <cellStyle name="Normal" xfId="0" builtinId="0"/>
  </cellStyles>
  <dxfs count="95">
    <dxf>
      <numFmt numFmtId="164" formatCode="&quot;$&quot;#,##0.0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left" vertical="top"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6100"/>
        <name val="Calibri"/>
        <family val="2"/>
        <scheme val="minor"/>
      </font>
      <numFmt numFmtId="164" formatCode="&quot;$&quot;#,##0.00"/>
      <fill>
        <patternFill patternType="solid">
          <fgColor indexed="64"/>
          <bgColor rgb="FFC6EFCE"/>
        </patternFill>
      </fill>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center" textRotation="0" wrapText="1"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1D9185D-6B3A-43CE-9080-5861BE25AA2C}" name="UnitsTable" displayName="UnitsTable" ref="A1:R141" totalsRowCount="1" headerRowDxfId="94">
  <autoFilter ref="A1:R140" xr:uid="{71D9185D-6B3A-43CE-9080-5861BE25AA2C}">
    <filterColumn colId="0">
      <filters>
        <filter val="Yes"/>
      </filters>
    </filterColumn>
  </autoFilter>
  <tableColumns count="18">
    <tableColumn id="19" xr3:uid="{8C9C839B-98ED-4926-9B27-2782ACBAD038}" name="Frequently Used" dataDxfId="93" totalsRowDxfId="92">
      <calculatedColumnFormula>INDEX(CodeMinutesTable[Frequently Used],MATCH(UnitsTable[[#This Row],[Billing Code]],CodeMinutesTable[Code],0))</calculatedColumnFormula>
    </tableColumn>
    <tableColumn id="1" xr3:uid="{AAE62E8F-0D8F-4CB5-945A-FEB6B4C6567C}" name="Billing Code" totalsRowLabel="Total" dataDxfId="91" totalsRowDxfId="90"/>
    <tableColumn id="2" xr3:uid="{8B36B1AF-44A1-47C9-BAE5-78C91101C391}" name="Code Description"/>
    <tableColumn id="3" xr3:uid="{35014B01-85AE-4AE0-9F20-809B3FAD4A07}" name="Psychiatrist/ Contracted Psychiatrist" totalsRowFunction="sum" dataDxfId="89" totalsRowDxfId="88"/>
    <tableColumn id="4" xr3:uid="{2AF1BFB4-A39D-40A9-96BB-5D5A277942F1}" name="Physicians Assistant" totalsRowFunction="sum" dataDxfId="87" totalsRowDxfId="86"/>
    <tableColumn id="5" xr3:uid="{3F6D94B7-1D9F-40CE-BCF6-60CE4A71EA47}" name="Nurse Practitioner" totalsRowFunction="sum" dataDxfId="85" totalsRowDxfId="84"/>
    <tableColumn id="6" xr3:uid="{FC708DE6-D9FE-4BFD-B6BB-2DDF7EE3D2C3}" name="RN" totalsRowFunction="sum" dataDxfId="83" totalsRowDxfId="82"/>
    <tableColumn id="7" xr3:uid="{F4A017AE-E998-4D63-8EA5-319C0475CF18}" name="Certified Nurse Specialist" totalsRowFunction="sum" dataDxfId="81" totalsRowDxfId="80"/>
    <tableColumn id="8" xr3:uid="{28AA40CD-9C6B-46E6-A410-CCEC0550FB03}" name="LVN" totalsRowFunction="sum" dataDxfId="79" totalsRowDxfId="78"/>
    <tableColumn id="9" xr3:uid="{69393872-5D5D-430B-BA1B-0F324BB2A014}" name="Pharmacist" totalsRowFunction="sum" dataDxfId="77" totalsRowDxfId="76"/>
    <tableColumn id="10" xr3:uid="{FE63A105-E72A-45E5-A774-1089A8449494}" name="Licensed Psychiatric Technician" totalsRowFunction="sum" dataDxfId="75" totalsRowDxfId="74"/>
    <tableColumn id="11" xr3:uid="{EA7FA90D-1A06-468C-AF42-458912C1358B}" name="Psychologist/Pre-licensed Psychologist" totalsRowFunction="sum" dataDxfId="73" totalsRowDxfId="72"/>
    <tableColumn id="12" xr3:uid="{9508C362-948D-42EA-931F-DDF4FBD5AC20}" name="LPHA (MFT  LCSW  LPCC)/ Intern or Waivered LPHA (MFT  LCSW  LPCC)" totalsRowFunction="sum" dataDxfId="71" totalsRowDxfId="70"/>
    <tableColumn id="13" xr3:uid="{C4F94369-1E6D-4230-91B5-C42FCD048212}" name="Occupational Therapist" totalsRowFunction="sum" dataDxfId="69" totalsRowDxfId="68"/>
    <tableColumn id="14" xr3:uid="{0637C700-49B4-430A-AA6C-3B903F53AF9E}" name="Mental Health Rehab Specialist" totalsRowFunction="sum" dataDxfId="67" totalsRowDxfId="66"/>
    <tableColumn id="15" xr3:uid="{4BFDB0E1-B8F2-4215-97DF-C54D0E4E245F}" name="Peer Recovery Specialist" totalsRowFunction="sum" dataDxfId="65" totalsRowDxfId="64"/>
    <tableColumn id="16" xr3:uid="{15860949-1BB8-483C-BB28-9F9EAA327284}" name="Other Qualified Providers - Other Designated MH staff that bill medical" totalsRowFunction="sum" dataDxfId="63" totalsRowDxfId="62"/>
    <tableColumn id="18" xr3:uid="{BACE842F-7D2A-4B07-BB0F-2B6315005A06}" name="Total" totalsRowFunction="sum" dataDxfId="61" totalsRowDxfId="60">
      <calculatedColumnFormula>SUM(UnitsTable[[#This Row],[Psychiatrist/ Contracted Psychiatrist]:[Other Qualified Providers - Other Designated MH staff that bill medical]])</calculatedColumnFormula>
    </tableColumn>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8FC294-5ABC-4E86-8460-B35FE846F239}" name="RevenueTable" displayName="RevenueTable" ref="A1:R141" totalsRowCount="1" headerRowDxfId="59">
  <autoFilter ref="A1:R140" xr:uid="{71D9185D-6B3A-43CE-9080-5861BE25AA2C}">
    <filterColumn colId="0">
      <filters>
        <filter val="Yes"/>
      </filters>
    </filterColumn>
  </autoFilter>
  <tableColumns count="18">
    <tableColumn id="19" xr3:uid="{8E7876A7-55DB-49F8-A7FC-5F24CD811DFD}" name="Frequently Used" dataDxfId="58" totalsRowDxfId="57">
      <calculatedColumnFormula>INDEX(CodeMinutesTable[Frequently Used],MATCH(RevenueTable[[#This Row],[Billing Code]],CodeMinutesTable[Code],0))</calculatedColumnFormula>
    </tableColumn>
    <tableColumn id="1" xr3:uid="{31321CC5-EAEC-4CCA-9349-9846707EBF30}" name="Billing Code" totalsRowLabel="Total" dataDxfId="56" totalsRowDxfId="55"/>
    <tableColumn id="2" xr3:uid="{129F3513-C63F-4164-A3D1-3D13543F64A4}" name="Code Description"/>
    <tableColumn id="3" xr3:uid="{64A9784E-F3BF-4411-805D-4EB6E3B94ACF}" name="Psychiatrist/ Contracted Psychiatrist" totalsRowFunction="sum" dataDxfId="54" totalsRowDxfId="53">
      <calculatedColumnFormula>UnitsTable[[#This Row],[Psychiatrist/ Contracted Psychiatrist]]*CodeRatesTable[[#This Row],[Psychiatrist/ Contracted Psychiatrist]]</calculatedColumnFormula>
    </tableColumn>
    <tableColumn id="4" xr3:uid="{5254E5C8-4C31-43CA-8B58-51AD602DF5FA}" name="Physicians Assistant" totalsRowFunction="sum" dataDxfId="52" totalsRowDxfId="51">
      <calculatedColumnFormula>UnitsTable[[#This Row],[Physicians Assistant]]*CodeRatesTable[[#This Row],[Physicians Assistant]]</calculatedColumnFormula>
    </tableColumn>
    <tableColumn id="5" xr3:uid="{8D70CAE7-21C4-49DA-B273-385B706774B9}" name="Nurse Practitioner" totalsRowFunction="sum" dataDxfId="50" totalsRowDxfId="49">
      <calculatedColumnFormula>UnitsTable[[#This Row],[Nurse Practitioner]]*CodeRatesTable[[#This Row],[Nurse Practitioner]]</calculatedColumnFormula>
    </tableColumn>
    <tableColumn id="6" xr3:uid="{8522F448-0AAE-4D45-A77C-87F18934A151}" name="RN" totalsRowFunction="sum" dataDxfId="48" totalsRowDxfId="47">
      <calculatedColumnFormula>UnitsTable[[#This Row],[RN]]*CodeRatesTable[[#This Row],[RN]]</calculatedColumnFormula>
    </tableColumn>
    <tableColumn id="7" xr3:uid="{77E2D6E4-3DCC-4865-813C-92A45ACD9C2F}" name="Certified Nurse Specialist" totalsRowFunction="sum" dataDxfId="46" totalsRowDxfId="45">
      <calculatedColumnFormula>UnitsTable[[#This Row],[Certified Nurse Specialist]]*CodeRatesTable[[#This Row],[Certified Nurse Specialist]]</calculatedColumnFormula>
    </tableColumn>
    <tableColumn id="8" xr3:uid="{9F894D0B-9257-4E75-AACF-3BDC82111828}" name="LVN" totalsRowFunction="sum" dataDxfId="44" totalsRowDxfId="43">
      <calculatedColumnFormula>UnitsTable[[#This Row],[LVN]]*CodeRatesTable[[#This Row],[LVN]]</calculatedColumnFormula>
    </tableColumn>
    <tableColumn id="9" xr3:uid="{458C8BF9-E5B1-46CF-BD27-8E23BF1F2494}" name="Pharmacist" totalsRowFunction="sum" dataDxfId="42" totalsRowDxfId="41">
      <calculatedColumnFormula>UnitsTable[[#This Row],[Pharmacist]]*CodeRatesTable[[#This Row],[Pharmacist]]</calculatedColumnFormula>
    </tableColumn>
    <tableColumn id="10" xr3:uid="{A2B64CCC-240B-4BEE-99BC-72A2361FA724}" name="Licensed Psychiatric Technician" totalsRowFunction="sum" dataDxfId="40" totalsRowDxfId="39">
      <calculatedColumnFormula>UnitsTable[[#This Row],[Licensed Psychiatric Technician]]*CodeRatesTable[[#This Row],[Licensed Psychiatric Technician]]</calculatedColumnFormula>
    </tableColumn>
    <tableColumn id="11" xr3:uid="{FF8FEDBE-FD94-4C32-99EC-C571654882B8}" name="Psychologist/Pre-licensed Psychologist" totalsRowFunction="sum" dataDxfId="38" totalsRowDxfId="37">
      <calculatedColumnFormula>UnitsTable[[#This Row],[Psychologist/Pre-licensed Psychologist]]*CodeRatesTable[[#This Row],[Psychologist/Pre-licensed Psychologist]]</calculatedColumnFormula>
    </tableColumn>
    <tableColumn id="12" xr3:uid="{88CF8FE3-E729-4972-AA7C-3A7A14DAD417}" name="LPHA (MFT  LCSW  LPCC)/ Intern or Waivered LPHA (MFT  LCSW  LPCC)" totalsRowFunction="sum" dataDxfId="36" totalsRowDxfId="35">
      <calculatedColumnFormula>UnitsTable[[#This Row],[LPHA (MFT  LCSW  LPCC)/ Intern or Waivered LPHA (MFT  LCSW  LPCC)]]*CodeRatesTable[[#This Row],[LPHA (MFT  LCSW  LPCC)/ Intern or Waivered LPHA (MFT  LCSW  LPCC)]]</calculatedColumnFormula>
    </tableColumn>
    <tableColumn id="13" xr3:uid="{6518FB01-90DF-4E7D-96F6-6FE874519A57}" name="Occupational Therapist" totalsRowFunction="sum" dataDxfId="34" totalsRowDxfId="33">
      <calculatedColumnFormula>UnitsTable[[#This Row],[Occupational Therapist]]*CodeRatesTable[[#This Row],[Occupational Therapist]]</calculatedColumnFormula>
    </tableColumn>
    <tableColumn id="14" xr3:uid="{48BA4E51-8BB6-4D2B-AFFB-8FDF26A256FF}" name="Mental Health Rehab Specialist" totalsRowFunction="sum" dataDxfId="32" totalsRowDxfId="31">
      <calculatedColumnFormula>UnitsTable[[#This Row],[Mental Health Rehab Specialist]]*CodeRatesTable[[#This Row],[Mental Health Rehab Specialist]]</calculatedColumnFormula>
    </tableColumn>
    <tableColumn id="15" xr3:uid="{E3754210-B43E-4784-B498-F6F26B1B518F}" name="Peer Recovery Specialist" totalsRowFunction="sum" dataDxfId="30" totalsRowDxfId="29">
      <calculatedColumnFormula>UnitsTable[[#This Row],[Peer Recovery Specialist]]*CodeRatesTable[[#This Row],[Peer Recovery Specialist]]</calculatedColumnFormula>
    </tableColumn>
    <tableColumn id="16" xr3:uid="{0EF1A2B7-CDB9-4786-AE5D-65EB964AF75D}" name="Other Qualified Providers - Other Designated MH staff that bill medical" totalsRowFunction="sum" dataDxfId="28" totalsRowDxfId="27">
      <calculatedColumnFormula>UnitsTable[[#This Row],[Other Qualified Providers - Other Designated MH staff that bill medical]]*CodeRatesTable[[#This Row],[Other Qualified Providers - Other Designated MH staff that bill medical]]</calculatedColumnFormula>
    </tableColumn>
    <tableColumn id="18" xr3:uid="{AB0E3BBE-2C91-4B72-82C0-09E52D5E80D5}" name="Total" totalsRowFunction="sum" dataDxfId="26" totalsRowDxfId="25">
      <calculatedColumnFormula>SUM(RevenueTable[[#This Row],[Psychiatrist/ Contracted Psychiatrist]:[Other Qualified Providers - Other Designated MH staff that bill medical]])</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2875101-3B39-41DA-A809-E9EFA873CAC8}" name="CodeRatesTable" displayName="CodeRatesTable" ref="A1:Q140" totalsRowShown="0" headerRowDxfId="24">
  <autoFilter ref="A1:Q140" xr:uid="{71D9185D-6B3A-43CE-9080-5861BE25AA2C}">
    <filterColumn colId="0">
      <filters>
        <filter val="Yes"/>
      </filters>
    </filterColumn>
  </autoFilter>
  <tableColumns count="17">
    <tableColumn id="18" xr3:uid="{DBA29646-A043-4216-872D-B387B7004892}" name="Frequently Used" dataDxfId="23">
      <calculatedColumnFormula>INDEX(CodeMinutesTable[Frequently Used],MATCH(CodeRatesTable[[#This Row],[Billing Code]],CodeMinutesTable[Code],0))</calculatedColumnFormula>
    </tableColumn>
    <tableColumn id="1" xr3:uid="{9D658AA1-D915-48F2-8235-C834074305B3}" name="Billing Code" dataDxfId="22"/>
    <tableColumn id="2" xr3:uid="{8A247486-FBBE-4500-8110-3DD647E2C72B}" name="Code Description"/>
    <tableColumn id="3" xr3:uid="{3A1438BE-BD73-4C8D-A2CB-A9723810C558}" name="Psychiatrist/ Contracted Psychiatrist" dataDxfId="21">
      <calculatedColumnFormula>VLOOKUP($B2, CodeMinutesTable[[Code]:[Minutes]], 3, FALSE) * VLOOKUP(D$1, ProviderRatesTable[], 3, FALSE)</calculatedColumnFormula>
    </tableColumn>
    <tableColumn id="4" xr3:uid="{5DCDA4F7-36A8-41F9-92B4-120D6889E8F4}" name="Physicians Assistant" dataDxfId="20">
      <calculatedColumnFormula array="1">_xlfn.XLOOKUP($B2,CodeMinutesTable[[Code]:[Code]],CodeMinutesTable[[Minutes]:[Minutes]]) *_xlfn.XLOOKUP(E$1,'Provider Rates'!$A$2:$A$15,'Provider Rates'!$C$2:$C$15)</calculatedColumnFormula>
    </tableColumn>
    <tableColumn id="5" xr3:uid="{4DDE3DC9-3B34-42DE-823F-E77D4CD44880}" name="Nurse Practitioner" dataDxfId="19">
      <calculatedColumnFormula array="1">_xlfn.XLOOKUP($B2,CodeMinutesTable[[Code]:[Code]],CodeMinutesTable[[Minutes]:[Minutes]]) *_xlfn.XLOOKUP(F$1,'Provider Rates'!$A$2:$A$15,'Provider Rates'!$C$2:$C$15)</calculatedColumnFormula>
    </tableColumn>
    <tableColumn id="6" xr3:uid="{08212880-B85F-4D3E-B627-3CBFA51430B6}" name="RN" dataDxfId="18">
      <calculatedColumnFormula array="1">_xlfn.XLOOKUP($B2,CodeMinutesTable[[Code]:[Code]],CodeMinutesTable[[Minutes]:[Minutes]]) *_xlfn.XLOOKUP(G$1,'Provider Rates'!$A$2:$A$15,'Provider Rates'!$C$2:$C$15)</calculatedColumnFormula>
    </tableColumn>
    <tableColumn id="7" xr3:uid="{2B861D91-E226-4055-9A46-695F4A7D0E39}" name="Certified Nurse Specialist" dataDxfId="17">
      <calculatedColumnFormula array="1">_xlfn.XLOOKUP($B2,CodeMinutesTable[[Code]:[Code]],CodeMinutesTable[[Minutes]:[Minutes]]) *_xlfn.XLOOKUP(H$1,'Provider Rates'!$A$2:$A$15,'Provider Rates'!$C$2:$C$15)</calculatedColumnFormula>
    </tableColumn>
    <tableColumn id="8" xr3:uid="{982B2BAA-51FA-4095-86C8-60AF93D3B4D5}" name="LVN" dataDxfId="16">
      <calculatedColumnFormula array="1">_xlfn.XLOOKUP($B2,CodeMinutesTable[[Code]:[Code]],CodeMinutesTable[[Minutes]:[Minutes]]) *_xlfn.XLOOKUP(I$1,'Provider Rates'!$A$2:$A$15,'Provider Rates'!$C$2:$C$15)</calculatedColumnFormula>
    </tableColumn>
    <tableColumn id="9" xr3:uid="{BB36288F-7338-4D5C-AFB0-7271931B5BB7}" name="Pharmacist" dataDxfId="15">
      <calculatedColumnFormula array="1">_xlfn.XLOOKUP($B2,CodeMinutesTable[[Code]:[Code]],CodeMinutesTable[[Minutes]:[Minutes]]) *_xlfn.XLOOKUP(J$1,'Provider Rates'!$A$2:$A$15,'Provider Rates'!$C$2:$C$15)</calculatedColumnFormula>
    </tableColumn>
    <tableColumn id="10" xr3:uid="{3EF5F530-478F-4FF0-B4A3-1C656506E53B}" name="Licensed Psychiatric Technician" dataDxfId="14">
      <calculatedColumnFormula array="1">_xlfn.XLOOKUP($B2,CodeMinutesTable[[Code]:[Code]],CodeMinutesTable[[Minutes]:[Minutes]]) *_xlfn.XLOOKUP(K$1,'Provider Rates'!$A$2:$A$15,'Provider Rates'!$C$2:$C$15)</calculatedColumnFormula>
    </tableColumn>
    <tableColumn id="11" xr3:uid="{DDDDFA2E-F0DD-4D2D-8D14-A99E23AA2CE1}" name="Psychologist/Pre-licensed Psychologist" dataDxfId="13">
      <calculatedColumnFormula array="1">_xlfn.XLOOKUP($B2,CodeMinutesTable[[Code]:[Code]],CodeMinutesTable[[Minutes]:[Minutes]]) *_xlfn.XLOOKUP(L$1,'Provider Rates'!$A$2:$A$15,'Provider Rates'!$C$2:$C$15)</calculatedColumnFormula>
    </tableColumn>
    <tableColumn id="12" xr3:uid="{1877C4D9-FE67-465B-9523-A8653318AA81}" name="LPHA (MFT  LCSW  LPCC)/ Intern or Waivered LPHA (MFT  LCSW  LPCC)" dataDxfId="12">
      <calculatedColumnFormula array="1">_xlfn.XLOOKUP($B2,CodeMinutesTable[[Code]:[Code]],CodeMinutesTable[[Minutes]:[Minutes]]) *_xlfn.XLOOKUP(M$1,'Provider Rates'!$A$2:$A$15,'Provider Rates'!$C$2:$C$15)</calculatedColumnFormula>
    </tableColumn>
    <tableColumn id="13" xr3:uid="{4F5F491F-CF6A-475F-9908-F5F41CB0151A}" name="Occupational Therapist" dataDxfId="11">
      <calculatedColumnFormula array="1">_xlfn.XLOOKUP($B2,CodeMinutesTable[[Code]:[Code]],CodeMinutesTable[[Minutes]:[Minutes]]) *_xlfn.XLOOKUP(N$1,'Provider Rates'!$A$2:$A$15,'Provider Rates'!$C$2:$C$15)</calculatedColumnFormula>
    </tableColumn>
    <tableColumn id="14" xr3:uid="{ED7212FA-BC2F-4C0A-96E5-C0E938D037AD}" name="Mental Health Rehab Specialist" dataDxfId="10">
      <calculatedColumnFormula array="1">_xlfn.XLOOKUP($B2,CodeMinutesTable[[Code]:[Code]],CodeMinutesTable[[Minutes]:[Minutes]]) *_xlfn.XLOOKUP(O$1,'Provider Rates'!$A$2:$A$15,'Provider Rates'!$C$2:$C$15)</calculatedColumnFormula>
    </tableColumn>
    <tableColumn id="15" xr3:uid="{13674DE4-4307-4D30-A481-8421CC24D50A}" name="Peer Recovery Specialist" dataDxfId="9">
      <calculatedColumnFormula array="1">_xlfn.XLOOKUP($B2,CodeMinutesTable[[Code]:[Code]],CodeMinutesTable[[Minutes]:[Minutes]]) *_xlfn.XLOOKUP(P$1,'Provider Rates'!$A$2:$A$15,'Provider Rates'!$C$2:$C$15)</calculatedColumnFormula>
    </tableColumn>
    <tableColumn id="16" xr3:uid="{31C7075C-7CEE-438E-ACF3-4092A0B9D81D}" name="Other Qualified Providers - Other Designated MH staff that bill medical" dataDxfId="8">
      <calculatedColumnFormula>VLOOKUP($B2, CodeMinutesTable[[Code]:[Minutes]], 3, FALSE) * VLOOKUP(Q$1, ProviderRatesTable[], 3, FALSE)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6257FB-CB92-411A-AAA2-321714CA1F36}" name="CodeMinutesTable" displayName="CodeMinutesTable" ref="A1:D140" totalsRowShown="0" headerRowDxfId="7" dataDxfId="6">
  <autoFilter ref="A1:D140" xr:uid="{696257FB-CB92-411A-AAA2-321714CA1F36}"/>
  <tableColumns count="4">
    <tableColumn id="3" xr3:uid="{AAF104AC-44E5-454D-8EA3-AD43C8486931}" name="Frequently Used" dataDxfId="5"/>
    <tableColumn id="1" xr3:uid="{BC752074-395A-45CE-9F03-EE014B6501B6}" name="Code" dataDxfId="4"/>
    <tableColumn id="4" xr3:uid="{0D030F84-62E7-40A6-9747-A0C05C2A4DF1}" name="Description" dataDxfId="3"/>
    <tableColumn id="2" xr3:uid="{911B6687-5DCF-44D0-B8A6-3D9BF06062F0}" name="Minutes" dataDxfId="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F575B94-A690-416C-B8CE-7087AF24435D}" name="ProviderRatesTable" displayName="ProviderRatesTable" ref="A1:C15" totalsRowShown="0" headerRowDxfId="1">
  <autoFilter ref="A1:C15" xr:uid="{DF575B94-A690-416C-B8CE-7087AF24435D}"/>
  <tableColumns count="3">
    <tableColumn id="1" xr3:uid="{C2D3E0BF-C44B-40CF-B31A-86F0F7294D95}" name="Provider Type"/>
    <tableColumn id="2" xr3:uid="{C4FD6AD7-FBF3-4041-80A1-65FE6A762AEB}" name="Rate Per Hour"/>
    <tableColumn id="3" xr3:uid="{BB005A54-F0C2-4AD7-B709-35C5D296DE95}" name="Rate Per Minute" dataDxfId="0">
      <calculatedColumnFormula>B2/60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43A56-B452-4895-B8E6-3BAC7EB119F5}">
  <dimension ref="A1:C27"/>
  <sheetViews>
    <sheetView tabSelected="1" workbookViewId="0">
      <selection activeCell="C2" sqref="C2"/>
    </sheetView>
  </sheetViews>
  <sheetFormatPr defaultColWidth="9.140625" defaultRowHeight="15" x14ac:dyDescent="0.25"/>
  <cols>
    <col min="1" max="2" width="3.7109375" customWidth="1"/>
    <col min="3" max="3" width="149.5703125" customWidth="1"/>
  </cols>
  <sheetData>
    <row r="1" spans="1:3" x14ac:dyDescent="0.25">
      <c r="A1" s="14" t="s">
        <v>0</v>
      </c>
      <c r="B1" s="14"/>
      <c r="C1" s="14"/>
    </row>
    <row r="2" spans="1:3" x14ac:dyDescent="0.25">
      <c r="C2" s="13" t="s">
        <v>361</v>
      </c>
    </row>
    <row r="3" spans="1:3" s="11" customFormat="1" x14ac:dyDescent="0.25">
      <c r="A3" s="10" t="s">
        <v>1</v>
      </c>
    </row>
    <row r="4" spans="1:3" ht="75" customHeight="1" x14ac:dyDescent="0.25">
      <c r="B4" s="15" t="s">
        <v>2</v>
      </c>
      <c r="C4" s="15"/>
    </row>
    <row r="6" spans="1:3" s="11" customFormat="1" x14ac:dyDescent="0.25">
      <c r="A6" s="10" t="s">
        <v>3</v>
      </c>
    </row>
    <row r="7" spans="1:3" ht="30" customHeight="1" x14ac:dyDescent="0.25">
      <c r="A7" s="8">
        <v>1</v>
      </c>
      <c r="B7" s="15" t="s">
        <v>4</v>
      </c>
      <c r="C7" s="15"/>
    </row>
    <row r="8" spans="1:3" ht="30" customHeight="1" x14ac:dyDescent="0.25">
      <c r="A8" s="8">
        <v>2</v>
      </c>
      <c r="B8" s="15" t="s">
        <v>5</v>
      </c>
      <c r="C8" s="15"/>
    </row>
    <row r="9" spans="1:3" x14ac:dyDescent="0.25">
      <c r="A9" s="8">
        <v>3</v>
      </c>
      <c r="B9" t="s">
        <v>6</v>
      </c>
    </row>
    <row r="11" spans="1:3" s="11" customFormat="1" x14ac:dyDescent="0.25">
      <c r="A11" s="10" t="s">
        <v>7</v>
      </c>
    </row>
    <row r="12" spans="1:3" x14ac:dyDescent="0.25">
      <c r="B12" t="s">
        <v>8</v>
      </c>
    </row>
    <row r="13" spans="1:3" ht="45" x14ac:dyDescent="0.25">
      <c r="C13" s="9" t="s">
        <v>9</v>
      </c>
    </row>
    <row r="14" spans="1:3" x14ac:dyDescent="0.25">
      <c r="B14" t="s">
        <v>10</v>
      </c>
    </row>
    <row r="15" spans="1:3" x14ac:dyDescent="0.25">
      <c r="B15" t="s">
        <v>11</v>
      </c>
    </row>
    <row r="16" spans="1:3" ht="60" x14ac:dyDescent="0.25">
      <c r="C16" s="9" t="s">
        <v>12</v>
      </c>
    </row>
    <row r="17" spans="1:3" ht="60" x14ac:dyDescent="0.25">
      <c r="C17" s="9" t="s">
        <v>13</v>
      </c>
    </row>
    <row r="18" spans="1:3" x14ac:dyDescent="0.25">
      <c r="B18" t="s">
        <v>14</v>
      </c>
    </row>
    <row r="19" spans="1:3" x14ac:dyDescent="0.25">
      <c r="C19" t="s">
        <v>15</v>
      </c>
    </row>
    <row r="20" spans="1:3" ht="30.75" customHeight="1" x14ac:dyDescent="0.25">
      <c r="B20" s="15" t="s">
        <v>16</v>
      </c>
      <c r="C20" s="15"/>
    </row>
    <row r="22" spans="1:3" s="11" customFormat="1" x14ac:dyDescent="0.25">
      <c r="A22" s="10" t="s">
        <v>17</v>
      </c>
    </row>
    <row r="23" spans="1:3" x14ac:dyDescent="0.25">
      <c r="B23" t="s">
        <v>18</v>
      </c>
    </row>
    <row r="24" spans="1:3" x14ac:dyDescent="0.25">
      <c r="B24" t="s">
        <v>19</v>
      </c>
    </row>
    <row r="25" spans="1:3" x14ac:dyDescent="0.25">
      <c r="B25" t="s">
        <v>20</v>
      </c>
    </row>
    <row r="26" spans="1:3" x14ac:dyDescent="0.25">
      <c r="B26" t="s">
        <v>21</v>
      </c>
    </row>
    <row r="27" spans="1:3" x14ac:dyDescent="0.25">
      <c r="B27" t="s">
        <v>22</v>
      </c>
    </row>
  </sheetData>
  <mergeCells count="5">
    <mergeCell ref="A1:C1"/>
    <mergeCell ref="B4:C4"/>
    <mergeCell ref="B7:C7"/>
    <mergeCell ref="B8:C8"/>
    <mergeCell ref="B20:C20"/>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67B06-4A7B-48C8-8186-4DED38935257}">
  <dimension ref="A1:R141"/>
  <sheetViews>
    <sheetView workbookViewId="0">
      <pane xSplit="3" ySplit="1" topLeftCell="D2" activePane="bottomRight" state="frozen"/>
      <selection pane="topRight" activeCell="C1" sqref="C1"/>
      <selection pane="bottomLeft" activeCell="A2" sqref="A2"/>
      <selection pane="bottomRight" sqref="A1:XFD1"/>
    </sheetView>
  </sheetViews>
  <sheetFormatPr defaultRowHeight="15" x14ac:dyDescent="0.25"/>
  <cols>
    <col min="1" max="2" width="10.7109375" customWidth="1"/>
    <col min="3" max="3" width="60.7109375" customWidth="1"/>
    <col min="4" max="19" width="25.7109375" customWidth="1"/>
  </cols>
  <sheetData>
    <row r="1" spans="1:18" s="1" customFormat="1" ht="45" customHeight="1" x14ac:dyDescent="0.25">
      <c r="A1" s="1" t="s">
        <v>23</v>
      </c>
      <c r="B1" s="1" t="s">
        <v>24</v>
      </c>
      <c r="C1" s="1" t="s">
        <v>25</v>
      </c>
      <c r="D1" s="1" t="s">
        <v>26</v>
      </c>
      <c r="E1" s="1" t="s">
        <v>27</v>
      </c>
      <c r="F1" s="1" t="s">
        <v>28</v>
      </c>
      <c r="G1" s="1" t="s">
        <v>29</v>
      </c>
      <c r="H1" s="1" t="s">
        <v>359</v>
      </c>
      <c r="I1" s="1" t="s">
        <v>30</v>
      </c>
      <c r="J1" s="1" t="s">
        <v>31</v>
      </c>
      <c r="K1" s="1" t="s">
        <v>32</v>
      </c>
      <c r="L1" s="1" t="s">
        <v>33</v>
      </c>
      <c r="M1" s="1" t="s">
        <v>360</v>
      </c>
      <c r="N1" s="1" t="s">
        <v>34</v>
      </c>
      <c r="O1" s="1" t="s">
        <v>35</v>
      </c>
      <c r="P1" s="1" t="s">
        <v>36</v>
      </c>
      <c r="Q1" s="1" t="s">
        <v>37</v>
      </c>
      <c r="R1" s="1" t="s">
        <v>38</v>
      </c>
    </row>
    <row r="2" spans="1:18" x14ac:dyDescent="0.25">
      <c r="A2" s="3" t="str">
        <f>INDEX(CodeMinutesTable[Frequently Used],MATCH(UnitsTable[[#This Row],[Billing Code]],CodeMinutesTable[Code],0))</f>
        <v>Yes</v>
      </c>
      <c r="B2" s="3" t="s">
        <v>39</v>
      </c>
      <c r="C2" t="s">
        <v>40</v>
      </c>
      <c r="D2" s="2">
        <v>0</v>
      </c>
      <c r="E2" s="2">
        <v>0</v>
      </c>
      <c r="F2" s="2">
        <v>0</v>
      </c>
      <c r="G2" s="2">
        <v>0</v>
      </c>
      <c r="H2" s="2">
        <v>0</v>
      </c>
      <c r="I2" s="2">
        <v>0</v>
      </c>
      <c r="J2" s="2">
        <v>0</v>
      </c>
      <c r="K2" s="2">
        <v>0</v>
      </c>
      <c r="L2" s="2">
        <v>0</v>
      </c>
      <c r="M2" s="2">
        <v>0</v>
      </c>
      <c r="N2" s="2">
        <v>0</v>
      </c>
      <c r="O2" s="2">
        <v>0</v>
      </c>
      <c r="P2" s="2">
        <v>0</v>
      </c>
      <c r="Q2" s="2">
        <v>0</v>
      </c>
      <c r="R2" s="2">
        <f>SUM(UnitsTable[[#This Row],[Psychiatrist/ Contracted Psychiatrist]:[Other Qualified Providers - Other Designated MH staff that bill medical]])</f>
        <v>0</v>
      </c>
    </row>
    <row r="3" spans="1:18" x14ac:dyDescent="0.25">
      <c r="A3" s="3" t="str">
        <f>INDEX(CodeMinutesTable[Frequently Used],MATCH(UnitsTable[[#This Row],[Billing Code]],CodeMinutesTable[Code],0))</f>
        <v>Yes</v>
      </c>
      <c r="B3" s="3" t="s">
        <v>41</v>
      </c>
      <c r="C3" t="s">
        <v>42</v>
      </c>
      <c r="D3" s="2">
        <v>0</v>
      </c>
      <c r="E3" s="2">
        <v>0</v>
      </c>
      <c r="F3" s="2">
        <v>0</v>
      </c>
      <c r="G3" s="2">
        <v>0</v>
      </c>
      <c r="H3" s="2">
        <v>0</v>
      </c>
      <c r="I3" s="2">
        <v>0</v>
      </c>
      <c r="J3" s="2">
        <v>0</v>
      </c>
      <c r="K3" s="2">
        <v>0</v>
      </c>
      <c r="L3" s="2">
        <v>0</v>
      </c>
      <c r="M3" s="2">
        <v>0</v>
      </c>
      <c r="N3" s="2">
        <v>0</v>
      </c>
      <c r="O3" s="2">
        <v>0</v>
      </c>
      <c r="P3" s="2">
        <v>0</v>
      </c>
      <c r="Q3" s="2">
        <v>0</v>
      </c>
      <c r="R3" s="2">
        <f>SUM(UnitsTable[[#This Row],[Psychiatrist/ Contracted Psychiatrist]:[Other Qualified Providers - Other Designated MH staff that bill medical]])</f>
        <v>0</v>
      </c>
    </row>
    <row r="4" spans="1:18" x14ac:dyDescent="0.25">
      <c r="A4" s="3" t="str">
        <f>INDEX(CodeMinutesTable[Frequently Used],MATCH(UnitsTable[[#This Row],[Billing Code]],CodeMinutesTable[Code],0))</f>
        <v>Yes</v>
      </c>
      <c r="B4" s="3" t="s">
        <v>43</v>
      </c>
      <c r="C4" t="s">
        <v>44</v>
      </c>
      <c r="D4" s="2">
        <v>0</v>
      </c>
      <c r="E4" s="2">
        <v>0</v>
      </c>
      <c r="F4" s="2">
        <v>0</v>
      </c>
      <c r="G4" s="2">
        <v>0</v>
      </c>
      <c r="H4" s="2">
        <v>0</v>
      </c>
      <c r="I4" s="2">
        <v>0</v>
      </c>
      <c r="J4" s="2">
        <v>0</v>
      </c>
      <c r="K4" s="2">
        <v>0</v>
      </c>
      <c r="L4" s="2">
        <v>0</v>
      </c>
      <c r="M4" s="2">
        <v>0</v>
      </c>
      <c r="N4" s="2">
        <v>0</v>
      </c>
      <c r="O4" s="2">
        <v>0</v>
      </c>
      <c r="P4" s="2">
        <v>0</v>
      </c>
      <c r="Q4" s="2">
        <v>0</v>
      </c>
      <c r="R4" s="2">
        <f>SUM(UnitsTable[[#This Row],[Psychiatrist/ Contracted Psychiatrist]:[Other Qualified Providers - Other Designated MH staff that bill medical]])</f>
        <v>0</v>
      </c>
    </row>
    <row r="5" spans="1:18" x14ac:dyDescent="0.25">
      <c r="A5" s="3" t="str">
        <f>INDEX(CodeMinutesTable[Frequently Used],MATCH(UnitsTable[[#This Row],[Billing Code]],CodeMinutesTable[Code],0))</f>
        <v>Yes</v>
      </c>
      <c r="B5" s="3" t="s">
        <v>45</v>
      </c>
      <c r="C5" t="s">
        <v>46</v>
      </c>
      <c r="D5" s="2">
        <v>0</v>
      </c>
      <c r="E5" s="2">
        <v>0</v>
      </c>
      <c r="F5" s="2">
        <v>0</v>
      </c>
      <c r="G5" s="2">
        <v>0</v>
      </c>
      <c r="H5" s="2">
        <v>0</v>
      </c>
      <c r="I5" s="2">
        <v>0</v>
      </c>
      <c r="J5" s="2">
        <v>0</v>
      </c>
      <c r="K5" s="2">
        <v>0</v>
      </c>
      <c r="L5" s="2">
        <v>0</v>
      </c>
      <c r="M5" s="2">
        <v>0</v>
      </c>
      <c r="N5" s="2">
        <v>0</v>
      </c>
      <c r="O5" s="2">
        <v>0</v>
      </c>
      <c r="P5" s="2">
        <v>0</v>
      </c>
      <c r="Q5" s="2">
        <v>0</v>
      </c>
      <c r="R5" s="2">
        <f>SUM(UnitsTable[[#This Row],[Psychiatrist/ Contracted Psychiatrist]:[Other Qualified Providers - Other Designated MH staff that bill medical]])</f>
        <v>0</v>
      </c>
    </row>
    <row r="6" spans="1:18" hidden="1" x14ac:dyDescent="0.25">
      <c r="A6" s="3" t="str">
        <f>INDEX(CodeMinutesTable[Frequently Used],MATCH(UnitsTable[[#This Row],[Billing Code]],CodeMinutesTable[Code],0))</f>
        <v>No</v>
      </c>
      <c r="B6" s="3" t="s">
        <v>47</v>
      </c>
      <c r="C6" t="s">
        <v>48</v>
      </c>
      <c r="D6" s="2">
        <v>0</v>
      </c>
      <c r="E6" s="2">
        <v>0</v>
      </c>
      <c r="F6" s="2">
        <v>0</v>
      </c>
      <c r="G6" s="2">
        <v>0</v>
      </c>
      <c r="H6" s="2">
        <v>0</v>
      </c>
      <c r="I6" s="2">
        <v>0</v>
      </c>
      <c r="J6" s="2">
        <v>0</v>
      </c>
      <c r="K6" s="2">
        <v>0</v>
      </c>
      <c r="L6" s="2">
        <v>0</v>
      </c>
      <c r="M6" s="2">
        <v>0</v>
      </c>
      <c r="N6" s="2">
        <v>0</v>
      </c>
      <c r="O6" s="2">
        <v>0</v>
      </c>
      <c r="P6" s="2">
        <v>0</v>
      </c>
      <c r="Q6" s="2">
        <v>0</v>
      </c>
      <c r="R6" s="2">
        <f>SUM(UnitsTable[[#This Row],[Psychiatrist/ Contracted Psychiatrist]:[Other Qualified Providers - Other Designated MH staff that bill medical]])</f>
        <v>0</v>
      </c>
    </row>
    <row r="7" spans="1:18" x14ac:dyDescent="0.25">
      <c r="A7" s="3" t="str">
        <f>INDEX(CodeMinutesTable[Frequently Used],MATCH(UnitsTable[[#This Row],[Billing Code]],CodeMinutesTable[Code],0))</f>
        <v>Yes</v>
      </c>
      <c r="B7" s="3" t="s">
        <v>49</v>
      </c>
      <c r="C7" t="s">
        <v>50</v>
      </c>
      <c r="D7" s="2">
        <v>0</v>
      </c>
      <c r="E7" s="2">
        <v>0</v>
      </c>
      <c r="F7" s="2">
        <v>0</v>
      </c>
      <c r="G7" s="2">
        <v>0</v>
      </c>
      <c r="H7" s="2">
        <v>0</v>
      </c>
      <c r="I7" s="2">
        <v>0</v>
      </c>
      <c r="J7" s="2">
        <v>0</v>
      </c>
      <c r="K7" s="2">
        <v>0</v>
      </c>
      <c r="L7" s="2">
        <v>0</v>
      </c>
      <c r="M7" s="2">
        <v>0</v>
      </c>
      <c r="N7" s="2">
        <v>0</v>
      </c>
      <c r="O7" s="2">
        <v>0</v>
      </c>
      <c r="P7" s="2">
        <v>0</v>
      </c>
      <c r="Q7" s="2">
        <v>0</v>
      </c>
      <c r="R7" s="2">
        <f>SUM(UnitsTable[[#This Row],[Psychiatrist/ Contracted Psychiatrist]:[Other Qualified Providers - Other Designated MH staff that bill medical]])</f>
        <v>0</v>
      </c>
    </row>
    <row r="8" spans="1:18" hidden="1" x14ac:dyDescent="0.25">
      <c r="A8" s="3" t="str">
        <f>INDEX(CodeMinutesTable[Frequently Used],MATCH(UnitsTable[[#This Row],[Billing Code]],CodeMinutesTable[Code],0))</f>
        <v>No</v>
      </c>
      <c r="B8" s="3" t="s">
        <v>51</v>
      </c>
      <c r="C8" t="s">
        <v>52</v>
      </c>
      <c r="D8" s="2">
        <v>0</v>
      </c>
      <c r="E8" s="2">
        <v>0</v>
      </c>
      <c r="F8" s="2">
        <v>0</v>
      </c>
      <c r="G8" s="2">
        <v>0</v>
      </c>
      <c r="H8" s="2">
        <v>0</v>
      </c>
      <c r="I8" s="2">
        <v>0</v>
      </c>
      <c r="J8" s="2">
        <v>0</v>
      </c>
      <c r="K8" s="2">
        <v>0</v>
      </c>
      <c r="L8" s="2">
        <v>0</v>
      </c>
      <c r="M8" s="2">
        <v>0</v>
      </c>
      <c r="N8" s="2">
        <v>0</v>
      </c>
      <c r="O8" s="2">
        <v>0</v>
      </c>
      <c r="P8" s="2">
        <v>0</v>
      </c>
      <c r="Q8" s="2">
        <v>0</v>
      </c>
      <c r="R8" s="2">
        <f>SUM(UnitsTable[[#This Row],[Psychiatrist/ Contracted Psychiatrist]:[Other Qualified Providers - Other Designated MH staff that bill medical]])</f>
        <v>0</v>
      </c>
    </row>
    <row r="9" spans="1:18" x14ac:dyDescent="0.25">
      <c r="A9" s="3" t="str">
        <f>INDEX(CodeMinutesTable[Frequently Used],MATCH(UnitsTable[[#This Row],[Billing Code]],CodeMinutesTable[Code],0))</f>
        <v>Yes</v>
      </c>
      <c r="B9" s="3" t="s">
        <v>53</v>
      </c>
      <c r="C9" t="s">
        <v>54</v>
      </c>
      <c r="D9" s="2">
        <v>0</v>
      </c>
      <c r="E9" s="2">
        <v>0</v>
      </c>
      <c r="F9" s="2">
        <v>0</v>
      </c>
      <c r="G9" s="2">
        <v>0</v>
      </c>
      <c r="H9" s="2">
        <v>0</v>
      </c>
      <c r="I9" s="2">
        <v>0</v>
      </c>
      <c r="J9" s="2">
        <v>0</v>
      </c>
      <c r="K9" s="2">
        <v>0</v>
      </c>
      <c r="L9" s="2">
        <v>0</v>
      </c>
      <c r="M9" s="2">
        <v>0</v>
      </c>
      <c r="N9" s="2">
        <v>0</v>
      </c>
      <c r="O9" s="2">
        <v>0</v>
      </c>
      <c r="P9" s="2">
        <v>0</v>
      </c>
      <c r="Q9" s="2">
        <v>0</v>
      </c>
      <c r="R9" s="2">
        <f>SUM(UnitsTable[[#This Row],[Psychiatrist/ Contracted Psychiatrist]:[Other Qualified Providers - Other Designated MH staff that bill medical]])</f>
        <v>0</v>
      </c>
    </row>
    <row r="10" spans="1:18" hidden="1" x14ac:dyDescent="0.25">
      <c r="A10" s="3" t="str">
        <f>INDEX(CodeMinutesTable[Frequently Used],MATCH(UnitsTable[[#This Row],[Billing Code]],CodeMinutesTable[Code],0))</f>
        <v>No</v>
      </c>
      <c r="B10" s="3" t="s">
        <v>55</v>
      </c>
      <c r="C10" t="s">
        <v>56</v>
      </c>
      <c r="D10" s="2">
        <v>0</v>
      </c>
      <c r="E10" s="2">
        <v>0</v>
      </c>
      <c r="F10" s="2">
        <v>0</v>
      </c>
      <c r="G10" s="2">
        <v>0</v>
      </c>
      <c r="H10" s="2">
        <v>0</v>
      </c>
      <c r="I10" s="2">
        <v>0</v>
      </c>
      <c r="J10" s="2">
        <v>0</v>
      </c>
      <c r="K10" s="2">
        <v>0</v>
      </c>
      <c r="L10" s="2">
        <v>0</v>
      </c>
      <c r="M10" s="2">
        <v>0</v>
      </c>
      <c r="N10" s="2">
        <v>0</v>
      </c>
      <c r="O10" s="2">
        <v>0</v>
      </c>
      <c r="P10" s="2">
        <v>0</v>
      </c>
      <c r="Q10" s="2">
        <v>0</v>
      </c>
      <c r="R10" s="2">
        <f>SUM(UnitsTable[[#This Row],[Psychiatrist/ Contracted Psychiatrist]:[Other Qualified Providers - Other Designated MH staff that bill medical]])</f>
        <v>0</v>
      </c>
    </row>
    <row r="11" spans="1:18" x14ac:dyDescent="0.25">
      <c r="A11" s="3" t="str">
        <f>INDEX(CodeMinutesTable[Frequently Used],MATCH(UnitsTable[[#This Row],[Billing Code]],CodeMinutesTable[Code],0))</f>
        <v>Yes</v>
      </c>
      <c r="B11" s="3" t="s">
        <v>57</v>
      </c>
      <c r="C11" t="s">
        <v>58</v>
      </c>
      <c r="D11" s="2">
        <v>0</v>
      </c>
      <c r="E11" s="2">
        <v>0</v>
      </c>
      <c r="F11" s="2">
        <v>0</v>
      </c>
      <c r="G11" s="2">
        <v>0</v>
      </c>
      <c r="H11" s="2">
        <v>0</v>
      </c>
      <c r="I11" s="2">
        <v>0</v>
      </c>
      <c r="J11" s="2">
        <v>0</v>
      </c>
      <c r="K11" s="2">
        <v>0</v>
      </c>
      <c r="L11" s="2">
        <v>0</v>
      </c>
      <c r="M11" s="2">
        <v>0</v>
      </c>
      <c r="N11" s="2">
        <v>0</v>
      </c>
      <c r="O11" s="2">
        <v>0</v>
      </c>
      <c r="P11" s="2">
        <v>0</v>
      </c>
      <c r="Q11" s="2">
        <v>0</v>
      </c>
      <c r="R11" s="2">
        <f>SUM(UnitsTable[[#This Row],[Psychiatrist/ Contracted Psychiatrist]:[Other Qualified Providers - Other Designated MH staff that bill medical]])</f>
        <v>0</v>
      </c>
    </row>
    <row r="12" spans="1:18" x14ac:dyDescent="0.25">
      <c r="A12" s="3" t="str">
        <f>INDEX(CodeMinutesTable[Frequently Used],MATCH(UnitsTable[[#This Row],[Billing Code]],CodeMinutesTable[Code],0))</f>
        <v>Yes</v>
      </c>
      <c r="B12" s="3" t="s">
        <v>59</v>
      </c>
      <c r="C12" t="s">
        <v>60</v>
      </c>
      <c r="D12" s="2">
        <v>0</v>
      </c>
      <c r="E12" s="2">
        <v>0</v>
      </c>
      <c r="F12" s="2">
        <v>0</v>
      </c>
      <c r="G12" s="2">
        <v>0</v>
      </c>
      <c r="H12" s="2">
        <v>0</v>
      </c>
      <c r="I12" s="2">
        <v>0</v>
      </c>
      <c r="J12" s="2">
        <v>0</v>
      </c>
      <c r="K12" s="2">
        <v>0</v>
      </c>
      <c r="L12" s="2">
        <v>0</v>
      </c>
      <c r="M12" s="2">
        <v>0</v>
      </c>
      <c r="N12" s="2">
        <v>0</v>
      </c>
      <c r="O12" s="2">
        <v>0</v>
      </c>
      <c r="P12" s="2">
        <v>0</v>
      </c>
      <c r="Q12" s="2">
        <v>0</v>
      </c>
      <c r="R12" s="2">
        <f>SUM(UnitsTable[[#This Row],[Psychiatrist/ Contracted Psychiatrist]:[Other Qualified Providers - Other Designated MH staff that bill medical]])</f>
        <v>0</v>
      </c>
    </row>
    <row r="13" spans="1:18" hidden="1" x14ac:dyDescent="0.25">
      <c r="A13" s="3" t="str">
        <f>INDEX(CodeMinutesTable[Frequently Used],MATCH(UnitsTable[[#This Row],[Billing Code]],CodeMinutesTable[Code],0))</f>
        <v>No</v>
      </c>
      <c r="B13" s="3" t="s">
        <v>61</v>
      </c>
      <c r="C13" t="s">
        <v>62</v>
      </c>
      <c r="D13" s="2">
        <v>0</v>
      </c>
      <c r="E13" s="2">
        <v>0</v>
      </c>
      <c r="F13" s="2">
        <v>0</v>
      </c>
      <c r="G13" s="2">
        <v>0</v>
      </c>
      <c r="H13" s="2">
        <v>0</v>
      </c>
      <c r="I13" s="2">
        <v>0</v>
      </c>
      <c r="J13" s="2">
        <v>0</v>
      </c>
      <c r="K13" s="2">
        <v>0</v>
      </c>
      <c r="L13" s="2">
        <v>0</v>
      </c>
      <c r="M13" s="2">
        <v>0</v>
      </c>
      <c r="N13" s="2">
        <v>0</v>
      </c>
      <c r="O13" s="2">
        <v>0</v>
      </c>
      <c r="P13" s="2">
        <v>0</v>
      </c>
      <c r="Q13" s="2">
        <v>0</v>
      </c>
      <c r="R13" s="2">
        <f>SUM(UnitsTable[[#This Row],[Psychiatrist/ Contracted Psychiatrist]:[Other Qualified Providers - Other Designated MH staff that bill medical]])</f>
        <v>0</v>
      </c>
    </row>
    <row r="14" spans="1:18" x14ac:dyDescent="0.25">
      <c r="A14" s="3" t="str">
        <f>INDEX(CodeMinutesTable[Frequently Used],MATCH(UnitsTable[[#This Row],[Billing Code]],CodeMinutesTable[Code],0))</f>
        <v>Yes</v>
      </c>
      <c r="B14" s="3" t="s">
        <v>63</v>
      </c>
      <c r="C14" t="s">
        <v>64</v>
      </c>
      <c r="D14" s="2">
        <v>0</v>
      </c>
      <c r="E14" s="2">
        <v>0</v>
      </c>
      <c r="F14" s="2">
        <v>0</v>
      </c>
      <c r="G14" s="2">
        <v>0</v>
      </c>
      <c r="H14" s="2">
        <v>0</v>
      </c>
      <c r="I14" s="2">
        <v>0</v>
      </c>
      <c r="J14" s="2">
        <v>0</v>
      </c>
      <c r="K14" s="2">
        <v>0</v>
      </c>
      <c r="L14" s="2">
        <v>0</v>
      </c>
      <c r="M14" s="2">
        <v>0</v>
      </c>
      <c r="N14" s="2">
        <v>0</v>
      </c>
      <c r="O14" s="2">
        <v>0</v>
      </c>
      <c r="P14" s="2">
        <v>0</v>
      </c>
      <c r="Q14" s="2">
        <v>0</v>
      </c>
      <c r="R14" s="2">
        <f>SUM(UnitsTable[[#This Row],[Psychiatrist/ Contracted Psychiatrist]:[Other Qualified Providers - Other Designated MH staff that bill medical]])</f>
        <v>0</v>
      </c>
    </row>
    <row r="15" spans="1:18" x14ac:dyDescent="0.25">
      <c r="A15" s="3" t="str">
        <f>INDEX(CodeMinutesTable[Frequently Used],MATCH(UnitsTable[[#This Row],[Billing Code]],CodeMinutesTable[Code],0))</f>
        <v>Yes</v>
      </c>
      <c r="B15" s="3" t="s">
        <v>65</v>
      </c>
      <c r="C15" t="s">
        <v>66</v>
      </c>
      <c r="D15" s="2">
        <v>0</v>
      </c>
      <c r="E15" s="2">
        <v>0</v>
      </c>
      <c r="F15" s="2">
        <v>0</v>
      </c>
      <c r="G15" s="2">
        <v>0</v>
      </c>
      <c r="H15" s="2">
        <v>0</v>
      </c>
      <c r="I15" s="2">
        <v>0</v>
      </c>
      <c r="J15" s="2">
        <v>0</v>
      </c>
      <c r="K15" s="2">
        <v>0</v>
      </c>
      <c r="L15" s="2">
        <v>0</v>
      </c>
      <c r="M15" s="2">
        <v>0</v>
      </c>
      <c r="N15" s="2">
        <v>0</v>
      </c>
      <c r="O15" s="2">
        <v>0</v>
      </c>
      <c r="P15" s="2">
        <v>0</v>
      </c>
      <c r="Q15" s="2">
        <v>0</v>
      </c>
      <c r="R15" s="2">
        <f>SUM(UnitsTable[[#This Row],[Psychiatrist/ Contracted Psychiatrist]:[Other Qualified Providers - Other Designated MH staff that bill medical]])</f>
        <v>0</v>
      </c>
    </row>
    <row r="16" spans="1:18" x14ac:dyDescent="0.25">
      <c r="A16" s="3" t="str">
        <f>INDEX(CodeMinutesTable[Frequently Used],MATCH(UnitsTable[[#This Row],[Billing Code]],CodeMinutesTable[Code],0))</f>
        <v>Yes</v>
      </c>
      <c r="B16" s="3" t="s">
        <v>67</v>
      </c>
      <c r="C16" t="s">
        <v>68</v>
      </c>
      <c r="D16" s="2">
        <v>0</v>
      </c>
      <c r="E16" s="2">
        <v>0</v>
      </c>
      <c r="F16" s="2">
        <v>0</v>
      </c>
      <c r="G16" s="2">
        <v>0</v>
      </c>
      <c r="H16" s="2">
        <v>0</v>
      </c>
      <c r="I16" s="2">
        <v>0</v>
      </c>
      <c r="J16" s="2">
        <v>0</v>
      </c>
      <c r="K16" s="2">
        <v>0</v>
      </c>
      <c r="L16" s="2">
        <v>0</v>
      </c>
      <c r="M16" s="2">
        <v>0</v>
      </c>
      <c r="N16" s="2">
        <v>0</v>
      </c>
      <c r="O16" s="2">
        <v>0</v>
      </c>
      <c r="P16" s="2">
        <v>0</v>
      </c>
      <c r="Q16" s="2">
        <v>0</v>
      </c>
      <c r="R16" s="2">
        <f>SUM(UnitsTable[[#This Row],[Psychiatrist/ Contracted Psychiatrist]:[Other Qualified Providers - Other Designated MH staff that bill medical]])</f>
        <v>0</v>
      </c>
    </row>
    <row r="17" spans="1:18" hidden="1" x14ac:dyDescent="0.25">
      <c r="A17" s="3" t="str">
        <f>INDEX(CodeMinutesTable[Frequently Used],MATCH(UnitsTable[[#This Row],[Billing Code]],CodeMinutesTable[Code],0))</f>
        <v>No</v>
      </c>
      <c r="B17" s="3" t="s">
        <v>69</v>
      </c>
      <c r="C17" t="s">
        <v>70</v>
      </c>
      <c r="D17" s="2">
        <v>0</v>
      </c>
      <c r="E17" s="2">
        <v>0</v>
      </c>
      <c r="F17" s="2">
        <v>0</v>
      </c>
      <c r="G17" s="2">
        <v>0</v>
      </c>
      <c r="H17" s="2">
        <v>0</v>
      </c>
      <c r="I17" s="2">
        <v>0</v>
      </c>
      <c r="J17" s="2">
        <v>0</v>
      </c>
      <c r="K17" s="2">
        <v>0</v>
      </c>
      <c r="L17" s="2">
        <v>0</v>
      </c>
      <c r="M17" s="2">
        <v>0</v>
      </c>
      <c r="N17" s="2">
        <v>0</v>
      </c>
      <c r="O17" s="2">
        <v>0</v>
      </c>
      <c r="P17" s="2">
        <v>0</v>
      </c>
      <c r="Q17" s="2">
        <v>0</v>
      </c>
      <c r="R17" s="2">
        <f>SUM(UnitsTable[[#This Row],[Psychiatrist/ Contracted Psychiatrist]:[Other Qualified Providers - Other Designated MH staff that bill medical]])</f>
        <v>0</v>
      </c>
    </row>
    <row r="18" spans="1:18" hidden="1" x14ac:dyDescent="0.25">
      <c r="A18" s="3" t="str">
        <f>INDEX(CodeMinutesTable[Frequently Used],MATCH(UnitsTable[[#This Row],[Billing Code]],CodeMinutesTable[Code],0))</f>
        <v>No</v>
      </c>
      <c r="B18" s="3" t="s">
        <v>71</v>
      </c>
      <c r="C18" t="s">
        <v>72</v>
      </c>
      <c r="D18" s="2">
        <v>0</v>
      </c>
      <c r="E18" s="2">
        <v>0</v>
      </c>
      <c r="F18" s="2">
        <v>0</v>
      </c>
      <c r="G18" s="2">
        <v>0</v>
      </c>
      <c r="H18" s="2">
        <v>0</v>
      </c>
      <c r="I18" s="2">
        <v>0</v>
      </c>
      <c r="J18" s="2">
        <v>0</v>
      </c>
      <c r="K18" s="2">
        <v>0</v>
      </c>
      <c r="L18" s="2">
        <v>0</v>
      </c>
      <c r="M18" s="2">
        <v>0</v>
      </c>
      <c r="N18" s="2">
        <v>0</v>
      </c>
      <c r="O18" s="2">
        <v>0</v>
      </c>
      <c r="P18" s="2">
        <v>0</v>
      </c>
      <c r="Q18" s="2">
        <v>0</v>
      </c>
      <c r="R18" s="2">
        <f>SUM(UnitsTable[[#This Row],[Psychiatrist/ Contracted Psychiatrist]:[Other Qualified Providers - Other Designated MH staff that bill medical]])</f>
        <v>0</v>
      </c>
    </row>
    <row r="19" spans="1:18" hidden="1" x14ac:dyDescent="0.25">
      <c r="A19" s="3" t="str">
        <f>INDEX(CodeMinutesTable[Frequently Used],MATCH(UnitsTable[[#This Row],[Billing Code]],CodeMinutesTable[Code],0))</f>
        <v>No</v>
      </c>
      <c r="B19" s="3" t="s">
        <v>73</v>
      </c>
      <c r="C19" t="s">
        <v>74</v>
      </c>
      <c r="D19" s="2">
        <v>0</v>
      </c>
      <c r="E19" s="2">
        <v>0</v>
      </c>
      <c r="F19" s="2">
        <v>0</v>
      </c>
      <c r="G19" s="2">
        <v>0</v>
      </c>
      <c r="H19" s="2">
        <v>0</v>
      </c>
      <c r="I19" s="2">
        <v>0</v>
      </c>
      <c r="J19" s="2">
        <v>0</v>
      </c>
      <c r="K19" s="2">
        <v>0</v>
      </c>
      <c r="L19" s="2">
        <v>0</v>
      </c>
      <c r="M19" s="2">
        <v>0</v>
      </c>
      <c r="N19" s="2">
        <v>0</v>
      </c>
      <c r="O19" s="2">
        <v>0</v>
      </c>
      <c r="P19" s="2">
        <v>0</v>
      </c>
      <c r="Q19" s="2">
        <v>0</v>
      </c>
      <c r="R19" s="2">
        <f>SUM(UnitsTable[[#This Row],[Psychiatrist/ Contracted Psychiatrist]:[Other Qualified Providers - Other Designated MH staff that bill medical]])</f>
        <v>0</v>
      </c>
    </row>
    <row r="20" spans="1:18" hidden="1" x14ac:dyDescent="0.25">
      <c r="A20" s="3" t="str">
        <f>INDEX(CodeMinutesTable[Frequently Used],MATCH(UnitsTable[[#This Row],[Billing Code]],CodeMinutesTable[Code],0))</f>
        <v>No</v>
      </c>
      <c r="B20" s="3" t="s">
        <v>75</v>
      </c>
      <c r="C20" t="s">
        <v>76</v>
      </c>
      <c r="D20" s="2">
        <v>0</v>
      </c>
      <c r="E20" s="2">
        <v>0</v>
      </c>
      <c r="F20" s="2">
        <v>0</v>
      </c>
      <c r="G20" s="2">
        <v>0</v>
      </c>
      <c r="H20" s="2">
        <v>0</v>
      </c>
      <c r="I20" s="2">
        <v>0</v>
      </c>
      <c r="J20" s="2">
        <v>0</v>
      </c>
      <c r="K20" s="2">
        <v>0</v>
      </c>
      <c r="L20" s="2">
        <v>0</v>
      </c>
      <c r="M20" s="2">
        <v>0</v>
      </c>
      <c r="N20" s="2">
        <v>0</v>
      </c>
      <c r="O20" s="2">
        <v>0</v>
      </c>
      <c r="P20" s="2">
        <v>0</v>
      </c>
      <c r="Q20" s="2">
        <v>0</v>
      </c>
      <c r="R20" s="2">
        <f>SUM(UnitsTable[[#This Row],[Psychiatrist/ Contracted Psychiatrist]:[Other Qualified Providers - Other Designated MH staff that bill medical]])</f>
        <v>0</v>
      </c>
    </row>
    <row r="21" spans="1:18" hidden="1" x14ac:dyDescent="0.25">
      <c r="A21" s="3" t="str">
        <f>INDEX(CodeMinutesTable[Frequently Used],MATCH(UnitsTable[[#This Row],[Billing Code]],CodeMinutesTable[Code],0))</f>
        <v>No</v>
      </c>
      <c r="B21" s="3" t="s">
        <v>77</v>
      </c>
      <c r="C21" t="s">
        <v>78</v>
      </c>
      <c r="D21" s="2">
        <v>0</v>
      </c>
      <c r="E21" s="2">
        <v>0</v>
      </c>
      <c r="F21" s="2">
        <v>0</v>
      </c>
      <c r="G21" s="2">
        <v>0</v>
      </c>
      <c r="H21" s="2">
        <v>0</v>
      </c>
      <c r="I21" s="2">
        <v>0</v>
      </c>
      <c r="J21" s="2">
        <v>0</v>
      </c>
      <c r="K21" s="2">
        <v>0</v>
      </c>
      <c r="L21" s="2">
        <v>0</v>
      </c>
      <c r="M21" s="2">
        <v>0</v>
      </c>
      <c r="N21" s="2">
        <v>0</v>
      </c>
      <c r="O21" s="2">
        <v>0</v>
      </c>
      <c r="P21" s="2">
        <v>0</v>
      </c>
      <c r="Q21" s="2">
        <v>0</v>
      </c>
      <c r="R21" s="2">
        <f>SUM(UnitsTable[[#This Row],[Psychiatrist/ Contracted Psychiatrist]:[Other Qualified Providers - Other Designated MH staff that bill medical]])</f>
        <v>0</v>
      </c>
    </row>
    <row r="22" spans="1:18" hidden="1" x14ac:dyDescent="0.25">
      <c r="A22" s="3" t="str">
        <f>INDEX(CodeMinutesTable[Frequently Used],MATCH(UnitsTable[[#This Row],[Billing Code]],CodeMinutesTable[Code],0))</f>
        <v>No</v>
      </c>
      <c r="B22" s="3" t="s">
        <v>79</v>
      </c>
      <c r="C22" t="s">
        <v>80</v>
      </c>
      <c r="D22" s="2">
        <v>0</v>
      </c>
      <c r="E22" s="2">
        <v>0</v>
      </c>
      <c r="F22" s="2">
        <v>0</v>
      </c>
      <c r="G22" s="2">
        <v>0</v>
      </c>
      <c r="H22" s="2">
        <v>0</v>
      </c>
      <c r="I22" s="2">
        <v>0</v>
      </c>
      <c r="J22" s="2">
        <v>0</v>
      </c>
      <c r="K22" s="2">
        <v>0</v>
      </c>
      <c r="L22" s="2">
        <v>0</v>
      </c>
      <c r="M22" s="2">
        <v>0</v>
      </c>
      <c r="N22" s="2">
        <v>0</v>
      </c>
      <c r="O22" s="2">
        <v>0</v>
      </c>
      <c r="P22" s="2">
        <v>0</v>
      </c>
      <c r="Q22" s="2">
        <v>0</v>
      </c>
      <c r="R22" s="2">
        <f>SUM(UnitsTable[[#This Row],[Psychiatrist/ Contracted Psychiatrist]:[Other Qualified Providers - Other Designated MH staff that bill medical]])</f>
        <v>0</v>
      </c>
    </row>
    <row r="23" spans="1:18" x14ac:dyDescent="0.25">
      <c r="A23" s="3" t="str">
        <f>INDEX(CodeMinutesTable[Frequently Used],MATCH(UnitsTable[[#This Row],[Billing Code]],CodeMinutesTable[Code],0))</f>
        <v>Yes</v>
      </c>
      <c r="B23" s="3" t="s">
        <v>81</v>
      </c>
      <c r="C23" t="s">
        <v>82</v>
      </c>
      <c r="D23" s="2">
        <v>0</v>
      </c>
      <c r="E23" s="2">
        <v>0</v>
      </c>
      <c r="F23" s="2">
        <v>0</v>
      </c>
      <c r="G23" s="2">
        <v>0</v>
      </c>
      <c r="H23" s="2">
        <v>0</v>
      </c>
      <c r="I23" s="2">
        <v>0</v>
      </c>
      <c r="J23" s="2">
        <v>0</v>
      </c>
      <c r="K23" s="2">
        <v>0</v>
      </c>
      <c r="L23" s="2">
        <v>0</v>
      </c>
      <c r="M23" s="2">
        <v>0</v>
      </c>
      <c r="N23" s="2">
        <v>0</v>
      </c>
      <c r="O23" s="2">
        <v>0</v>
      </c>
      <c r="P23" s="2">
        <v>0</v>
      </c>
      <c r="Q23" s="2">
        <v>0</v>
      </c>
      <c r="R23" s="2">
        <f>SUM(UnitsTable[[#This Row],[Psychiatrist/ Contracted Psychiatrist]:[Other Qualified Providers - Other Designated MH staff that bill medical]])</f>
        <v>0</v>
      </c>
    </row>
    <row r="24" spans="1:18" x14ac:dyDescent="0.25">
      <c r="A24" s="3" t="str">
        <f>INDEX(CodeMinutesTable[Frequently Used],MATCH(UnitsTable[[#This Row],[Billing Code]],CodeMinutesTable[Code],0))</f>
        <v>Yes</v>
      </c>
      <c r="B24" s="3" t="s">
        <v>83</v>
      </c>
      <c r="C24" t="s">
        <v>84</v>
      </c>
      <c r="D24" s="2">
        <v>0</v>
      </c>
      <c r="E24" s="2">
        <v>0</v>
      </c>
      <c r="F24" s="2">
        <v>0</v>
      </c>
      <c r="G24" s="2">
        <v>0</v>
      </c>
      <c r="H24" s="2">
        <v>0</v>
      </c>
      <c r="I24" s="2">
        <v>0</v>
      </c>
      <c r="J24" s="2">
        <v>0</v>
      </c>
      <c r="K24" s="2">
        <v>0</v>
      </c>
      <c r="L24" s="2">
        <v>0</v>
      </c>
      <c r="M24" s="2">
        <v>0</v>
      </c>
      <c r="N24" s="2">
        <v>0</v>
      </c>
      <c r="O24" s="2">
        <v>0</v>
      </c>
      <c r="P24" s="2">
        <v>0</v>
      </c>
      <c r="Q24" s="2">
        <v>0</v>
      </c>
      <c r="R24" s="2">
        <f>SUM(UnitsTable[[#This Row],[Psychiatrist/ Contracted Psychiatrist]:[Other Qualified Providers - Other Designated MH staff that bill medical]])</f>
        <v>0</v>
      </c>
    </row>
    <row r="25" spans="1:18" hidden="1" x14ac:dyDescent="0.25">
      <c r="A25" s="3" t="str">
        <f>INDEX(CodeMinutesTable[Frequently Used],MATCH(UnitsTable[[#This Row],[Billing Code]],CodeMinutesTable[Code],0))</f>
        <v>No</v>
      </c>
      <c r="B25" s="3" t="s">
        <v>85</v>
      </c>
      <c r="C25" t="s">
        <v>86</v>
      </c>
      <c r="D25" s="2">
        <v>0</v>
      </c>
      <c r="E25" s="2">
        <v>0</v>
      </c>
      <c r="F25" s="2">
        <v>0</v>
      </c>
      <c r="G25" s="2">
        <v>0</v>
      </c>
      <c r="H25" s="2">
        <v>0</v>
      </c>
      <c r="I25" s="2">
        <v>0</v>
      </c>
      <c r="J25" s="2">
        <v>0</v>
      </c>
      <c r="K25" s="2">
        <v>0</v>
      </c>
      <c r="L25" s="2">
        <v>0</v>
      </c>
      <c r="M25" s="2">
        <v>0</v>
      </c>
      <c r="N25" s="2">
        <v>0</v>
      </c>
      <c r="O25" s="2">
        <v>0</v>
      </c>
      <c r="P25" s="2">
        <v>0</v>
      </c>
      <c r="Q25" s="2">
        <v>0</v>
      </c>
      <c r="R25" s="2">
        <f>SUM(UnitsTable[[#This Row],[Psychiatrist/ Contracted Psychiatrist]:[Other Qualified Providers - Other Designated MH staff that bill medical]])</f>
        <v>0</v>
      </c>
    </row>
    <row r="26" spans="1:18" hidden="1" x14ac:dyDescent="0.25">
      <c r="A26" s="3" t="str">
        <f>INDEX(CodeMinutesTable[Frequently Used],MATCH(UnitsTable[[#This Row],[Billing Code]],CodeMinutesTable[Code],0))</f>
        <v>No</v>
      </c>
      <c r="B26" s="3" t="s">
        <v>87</v>
      </c>
      <c r="C26" t="s">
        <v>88</v>
      </c>
      <c r="D26" s="2">
        <v>0</v>
      </c>
      <c r="E26" s="2">
        <v>0</v>
      </c>
      <c r="F26" s="2">
        <v>0</v>
      </c>
      <c r="G26" s="2">
        <v>0</v>
      </c>
      <c r="H26" s="2">
        <v>0</v>
      </c>
      <c r="I26" s="2">
        <v>0</v>
      </c>
      <c r="J26" s="2">
        <v>0</v>
      </c>
      <c r="K26" s="2">
        <v>0</v>
      </c>
      <c r="L26" s="2">
        <v>0</v>
      </c>
      <c r="M26" s="2">
        <v>0</v>
      </c>
      <c r="N26" s="2">
        <v>0</v>
      </c>
      <c r="O26" s="2">
        <v>0</v>
      </c>
      <c r="P26" s="2">
        <v>0</v>
      </c>
      <c r="Q26" s="2">
        <v>0</v>
      </c>
      <c r="R26" s="2">
        <f>SUM(UnitsTable[[#This Row],[Psychiatrist/ Contracted Psychiatrist]:[Other Qualified Providers - Other Designated MH staff that bill medical]])</f>
        <v>0</v>
      </c>
    </row>
    <row r="27" spans="1:18" hidden="1" x14ac:dyDescent="0.25">
      <c r="A27" s="3" t="str">
        <f>INDEX(CodeMinutesTable[Frequently Used],MATCH(UnitsTable[[#This Row],[Billing Code]],CodeMinutesTable[Code],0))</f>
        <v>No</v>
      </c>
      <c r="B27" s="3" t="s">
        <v>89</v>
      </c>
      <c r="C27" t="s">
        <v>90</v>
      </c>
      <c r="D27" s="2">
        <v>0</v>
      </c>
      <c r="E27" s="2">
        <v>0</v>
      </c>
      <c r="F27" s="2">
        <v>0</v>
      </c>
      <c r="G27" s="2">
        <v>0</v>
      </c>
      <c r="H27" s="2">
        <v>0</v>
      </c>
      <c r="I27" s="2">
        <v>0</v>
      </c>
      <c r="J27" s="2">
        <v>0</v>
      </c>
      <c r="K27" s="2">
        <v>0</v>
      </c>
      <c r="L27" s="2">
        <v>0</v>
      </c>
      <c r="M27" s="2">
        <v>0</v>
      </c>
      <c r="N27" s="2">
        <v>0</v>
      </c>
      <c r="O27" s="2">
        <v>0</v>
      </c>
      <c r="P27" s="2">
        <v>0</v>
      </c>
      <c r="Q27" s="2">
        <v>0</v>
      </c>
      <c r="R27" s="2">
        <f>SUM(UnitsTable[[#This Row],[Psychiatrist/ Contracted Psychiatrist]:[Other Qualified Providers - Other Designated MH staff that bill medical]])</f>
        <v>0</v>
      </c>
    </row>
    <row r="28" spans="1:18" hidden="1" x14ac:dyDescent="0.25">
      <c r="A28" s="3" t="str">
        <f>INDEX(CodeMinutesTable[Frequently Used],MATCH(UnitsTable[[#This Row],[Billing Code]],CodeMinutesTable[Code],0))</f>
        <v>No</v>
      </c>
      <c r="B28" s="3" t="s">
        <v>91</v>
      </c>
      <c r="C28" t="s">
        <v>92</v>
      </c>
      <c r="D28" s="2">
        <v>0</v>
      </c>
      <c r="E28" s="2">
        <v>0</v>
      </c>
      <c r="F28" s="2">
        <v>0</v>
      </c>
      <c r="G28" s="2">
        <v>0</v>
      </c>
      <c r="H28" s="2">
        <v>0</v>
      </c>
      <c r="I28" s="2">
        <v>0</v>
      </c>
      <c r="J28" s="2">
        <v>0</v>
      </c>
      <c r="K28" s="2">
        <v>0</v>
      </c>
      <c r="L28" s="2">
        <v>0</v>
      </c>
      <c r="M28" s="2">
        <v>0</v>
      </c>
      <c r="N28" s="2">
        <v>0</v>
      </c>
      <c r="O28" s="2">
        <v>0</v>
      </c>
      <c r="P28" s="2">
        <v>0</v>
      </c>
      <c r="Q28" s="2">
        <v>0</v>
      </c>
      <c r="R28" s="2">
        <f>SUM(UnitsTable[[#This Row],[Psychiatrist/ Contracted Psychiatrist]:[Other Qualified Providers - Other Designated MH staff that bill medical]])</f>
        <v>0</v>
      </c>
    </row>
    <row r="29" spans="1:18" hidden="1" x14ac:dyDescent="0.25">
      <c r="A29" s="3" t="str">
        <f>INDEX(CodeMinutesTable[Frequently Used],MATCH(UnitsTable[[#This Row],[Billing Code]],CodeMinutesTable[Code],0))</f>
        <v>No</v>
      </c>
      <c r="B29" s="3" t="s">
        <v>93</v>
      </c>
      <c r="C29" t="s">
        <v>94</v>
      </c>
      <c r="D29" s="2">
        <v>0</v>
      </c>
      <c r="E29" s="2">
        <v>0</v>
      </c>
      <c r="F29" s="2">
        <v>0</v>
      </c>
      <c r="G29" s="2">
        <v>0</v>
      </c>
      <c r="H29" s="2">
        <v>0</v>
      </c>
      <c r="I29" s="2">
        <v>0</v>
      </c>
      <c r="J29" s="2">
        <v>0</v>
      </c>
      <c r="K29" s="2">
        <v>0</v>
      </c>
      <c r="L29" s="2">
        <v>0</v>
      </c>
      <c r="M29" s="2">
        <v>0</v>
      </c>
      <c r="N29" s="2">
        <v>0</v>
      </c>
      <c r="O29" s="2">
        <v>0</v>
      </c>
      <c r="P29" s="2">
        <v>0</v>
      </c>
      <c r="Q29" s="2">
        <v>0</v>
      </c>
      <c r="R29" s="2">
        <f>SUM(UnitsTable[[#This Row],[Psychiatrist/ Contracted Psychiatrist]:[Other Qualified Providers - Other Designated MH staff that bill medical]])</f>
        <v>0</v>
      </c>
    </row>
    <row r="30" spans="1:18" hidden="1" x14ac:dyDescent="0.25">
      <c r="A30" s="3" t="str">
        <f>INDEX(CodeMinutesTable[Frequently Used],MATCH(UnitsTable[[#This Row],[Billing Code]],CodeMinutesTable[Code],0))</f>
        <v>No</v>
      </c>
      <c r="B30" s="3" t="s">
        <v>95</v>
      </c>
      <c r="C30" t="s">
        <v>96</v>
      </c>
      <c r="D30" s="2">
        <v>0</v>
      </c>
      <c r="E30" s="2">
        <v>0</v>
      </c>
      <c r="F30" s="2">
        <v>0</v>
      </c>
      <c r="G30" s="2">
        <v>0</v>
      </c>
      <c r="H30" s="2">
        <v>0</v>
      </c>
      <c r="I30" s="2">
        <v>0</v>
      </c>
      <c r="J30" s="2">
        <v>0</v>
      </c>
      <c r="K30" s="2">
        <v>0</v>
      </c>
      <c r="L30" s="2">
        <v>0</v>
      </c>
      <c r="M30" s="2">
        <v>0</v>
      </c>
      <c r="N30" s="2">
        <v>0</v>
      </c>
      <c r="O30" s="2">
        <v>0</v>
      </c>
      <c r="P30" s="2">
        <v>0</v>
      </c>
      <c r="Q30" s="2">
        <v>0</v>
      </c>
      <c r="R30" s="2">
        <f>SUM(UnitsTable[[#This Row],[Psychiatrist/ Contracted Psychiatrist]:[Other Qualified Providers - Other Designated MH staff that bill medical]])</f>
        <v>0</v>
      </c>
    </row>
    <row r="31" spans="1:18" hidden="1" x14ac:dyDescent="0.25">
      <c r="A31" s="3" t="str">
        <f>INDEX(CodeMinutesTable[Frequently Used],MATCH(UnitsTable[[#This Row],[Billing Code]],CodeMinutesTable[Code],0))</f>
        <v>No</v>
      </c>
      <c r="B31" s="3" t="s">
        <v>97</v>
      </c>
      <c r="C31" t="s">
        <v>98</v>
      </c>
      <c r="D31" s="2">
        <v>0</v>
      </c>
      <c r="E31" s="2">
        <v>0</v>
      </c>
      <c r="F31" s="2">
        <v>0</v>
      </c>
      <c r="G31" s="2">
        <v>0</v>
      </c>
      <c r="H31" s="2">
        <v>0</v>
      </c>
      <c r="I31" s="2">
        <v>0</v>
      </c>
      <c r="J31" s="2">
        <v>0</v>
      </c>
      <c r="K31" s="2">
        <v>0</v>
      </c>
      <c r="L31" s="2">
        <v>0</v>
      </c>
      <c r="M31" s="2">
        <v>0</v>
      </c>
      <c r="N31" s="2">
        <v>0</v>
      </c>
      <c r="O31" s="2">
        <v>0</v>
      </c>
      <c r="P31" s="2">
        <v>0</v>
      </c>
      <c r="Q31" s="2">
        <v>0</v>
      </c>
      <c r="R31" s="2">
        <f>SUM(UnitsTable[[#This Row],[Psychiatrist/ Contracted Psychiatrist]:[Other Qualified Providers - Other Designated MH staff that bill medical]])</f>
        <v>0</v>
      </c>
    </row>
    <row r="32" spans="1:18" hidden="1" x14ac:dyDescent="0.25">
      <c r="A32" s="3" t="str">
        <f>INDEX(CodeMinutesTable[Frequently Used],MATCH(UnitsTable[[#This Row],[Billing Code]],CodeMinutesTable[Code],0))</f>
        <v>No</v>
      </c>
      <c r="B32" s="3" t="s">
        <v>99</v>
      </c>
      <c r="C32" t="s">
        <v>100</v>
      </c>
      <c r="D32" s="2">
        <v>0</v>
      </c>
      <c r="E32" s="2">
        <v>0</v>
      </c>
      <c r="F32" s="2">
        <v>0</v>
      </c>
      <c r="G32" s="2">
        <v>0</v>
      </c>
      <c r="H32" s="2">
        <v>0</v>
      </c>
      <c r="I32" s="2">
        <v>0</v>
      </c>
      <c r="J32" s="2">
        <v>0</v>
      </c>
      <c r="K32" s="2">
        <v>0</v>
      </c>
      <c r="L32" s="2">
        <v>0</v>
      </c>
      <c r="M32" s="2">
        <v>0</v>
      </c>
      <c r="N32" s="2">
        <v>0</v>
      </c>
      <c r="O32" s="2">
        <v>0</v>
      </c>
      <c r="P32" s="2">
        <v>0</v>
      </c>
      <c r="Q32" s="2">
        <v>0</v>
      </c>
      <c r="R32" s="2">
        <f>SUM(UnitsTable[[#This Row],[Psychiatrist/ Contracted Psychiatrist]:[Other Qualified Providers - Other Designated MH staff that bill medical]])</f>
        <v>0</v>
      </c>
    </row>
    <row r="33" spans="1:18" x14ac:dyDescent="0.25">
      <c r="A33" s="3" t="str">
        <f>INDEX(CodeMinutesTable[Frequently Used],MATCH(UnitsTable[[#This Row],[Billing Code]],CodeMinutesTable[Code],0))</f>
        <v>Yes</v>
      </c>
      <c r="B33" s="3" t="s">
        <v>101</v>
      </c>
      <c r="C33" t="s">
        <v>102</v>
      </c>
      <c r="D33" s="2">
        <v>0</v>
      </c>
      <c r="E33" s="2">
        <v>0</v>
      </c>
      <c r="F33" s="2">
        <v>0</v>
      </c>
      <c r="G33" s="2">
        <v>0</v>
      </c>
      <c r="H33" s="2">
        <v>0</v>
      </c>
      <c r="I33" s="2">
        <v>0</v>
      </c>
      <c r="J33" s="2">
        <v>0</v>
      </c>
      <c r="K33" s="2">
        <v>0</v>
      </c>
      <c r="L33" s="2">
        <v>0</v>
      </c>
      <c r="M33" s="2">
        <v>0</v>
      </c>
      <c r="N33" s="2">
        <v>0</v>
      </c>
      <c r="O33" s="2">
        <v>0</v>
      </c>
      <c r="P33" s="2">
        <v>0</v>
      </c>
      <c r="Q33" s="2">
        <v>0</v>
      </c>
      <c r="R33" s="2">
        <f>SUM(UnitsTable[[#This Row],[Psychiatrist/ Contracted Psychiatrist]:[Other Qualified Providers - Other Designated MH staff that bill medical]])</f>
        <v>0</v>
      </c>
    </row>
    <row r="34" spans="1:18" x14ac:dyDescent="0.25">
      <c r="A34" s="3" t="str">
        <f>INDEX(CodeMinutesTable[Frequently Used],MATCH(UnitsTable[[#This Row],[Billing Code]],CodeMinutesTable[Code],0))</f>
        <v>Yes</v>
      </c>
      <c r="B34" s="3" t="s">
        <v>103</v>
      </c>
      <c r="C34" t="s">
        <v>104</v>
      </c>
      <c r="D34" s="2">
        <v>0</v>
      </c>
      <c r="E34" s="2">
        <v>0</v>
      </c>
      <c r="F34" s="2">
        <v>0</v>
      </c>
      <c r="G34" s="2">
        <v>0</v>
      </c>
      <c r="H34" s="2">
        <v>0</v>
      </c>
      <c r="I34" s="2">
        <v>0</v>
      </c>
      <c r="J34" s="2">
        <v>0</v>
      </c>
      <c r="K34" s="2">
        <v>0</v>
      </c>
      <c r="L34" s="2">
        <v>0</v>
      </c>
      <c r="M34" s="2">
        <v>0</v>
      </c>
      <c r="N34" s="2">
        <v>0</v>
      </c>
      <c r="O34" s="2">
        <v>0</v>
      </c>
      <c r="P34" s="2">
        <v>0</v>
      </c>
      <c r="Q34" s="2">
        <v>0</v>
      </c>
      <c r="R34" s="2">
        <f>SUM(UnitsTable[[#This Row],[Psychiatrist/ Contracted Psychiatrist]:[Other Qualified Providers - Other Designated MH staff that bill medical]])</f>
        <v>0</v>
      </c>
    </row>
    <row r="35" spans="1:18" hidden="1" x14ac:dyDescent="0.25">
      <c r="A35" s="3" t="str">
        <f>INDEX(CodeMinutesTable[Frequently Used],MATCH(UnitsTable[[#This Row],[Billing Code]],CodeMinutesTable[Code],0))</f>
        <v>No</v>
      </c>
      <c r="B35" s="3" t="s">
        <v>105</v>
      </c>
      <c r="C35" t="s">
        <v>106</v>
      </c>
      <c r="D35" s="2">
        <v>0</v>
      </c>
      <c r="E35" s="2">
        <v>0</v>
      </c>
      <c r="F35" s="2">
        <v>0</v>
      </c>
      <c r="G35" s="2">
        <v>0</v>
      </c>
      <c r="H35" s="2">
        <v>0</v>
      </c>
      <c r="I35" s="2">
        <v>0</v>
      </c>
      <c r="J35" s="2">
        <v>0</v>
      </c>
      <c r="K35" s="2">
        <v>0</v>
      </c>
      <c r="L35" s="2">
        <v>0</v>
      </c>
      <c r="M35" s="2">
        <v>0</v>
      </c>
      <c r="N35" s="2">
        <v>0</v>
      </c>
      <c r="O35" s="2">
        <v>0</v>
      </c>
      <c r="P35" s="2">
        <v>0</v>
      </c>
      <c r="Q35" s="2">
        <v>0</v>
      </c>
      <c r="R35" s="2">
        <f>SUM(UnitsTable[[#This Row],[Psychiatrist/ Contracted Psychiatrist]:[Other Qualified Providers - Other Designated MH staff that bill medical]])</f>
        <v>0</v>
      </c>
    </row>
    <row r="36" spans="1:18" hidden="1" x14ac:dyDescent="0.25">
      <c r="A36" s="3" t="str">
        <f>INDEX(CodeMinutesTable[Frequently Used],MATCH(UnitsTable[[#This Row],[Billing Code]],CodeMinutesTable[Code],0))</f>
        <v>No</v>
      </c>
      <c r="B36" s="3" t="s">
        <v>107</v>
      </c>
      <c r="C36" t="s">
        <v>108</v>
      </c>
      <c r="D36" s="2">
        <v>0</v>
      </c>
      <c r="E36" s="2">
        <v>0</v>
      </c>
      <c r="F36" s="2">
        <v>0</v>
      </c>
      <c r="G36" s="2">
        <v>0</v>
      </c>
      <c r="H36" s="2">
        <v>0</v>
      </c>
      <c r="I36" s="2">
        <v>0</v>
      </c>
      <c r="J36" s="2">
        <v>0</v>
      </c>
      <c r="K36" s="2">
        <v>0</v>
      </c>
      <c r="L36" s="2">
        <v>0</v>
      </c>
      <c r="M36" s="2">
        <v>0</v>
      </c>
      <c r="N36" s="2">
        <v>0</v>
      </c>
      <c r="O36" s="2">
        <v>0</v>
      </c>
      <c r="P36" s="2">
        <v>0</v>
      </c>
      <c r="Q36" s="2">
        <v>0</v>
      </c>
      <c r="R36" s="2">
        <f>SUM(UnitsTable[[#This Row],[Psychiatrist/ Contracted Psychiatrist]:[Other Qualified Providers - Other Designated MH staff that bill medical]])</f>
        <v>0</v>
      </c>
    </row>
    <row r="37" spans="1:18" hidden="1" x14ac:dyDescent="0.25">
      <c r="A37" s="3" t="str">
        <f>INDEX(CodeMinutesTable[Frequently Used],MATCH(UnitsTable[[#This Row],[Billing Code]],CodeMinutesTable[Code],0))</f>
        <v>No</v>
      </c>
      <c r="B37" s="3" t="s">
        <v>109</v>
      </c>
      <c r="C37" t="s">
        <v>110</v>
      </c>
      <c r="D37" s="2">
        <v>0</v>
      </c>
      <c r="E37" s="2">
        <v>0</v>
      </c>
      <c r="F37" s="2">
        <v>0</v>
      </c>
      <c r="G37" s="2">
        <v>0</v>
      </c>
      <c r="H37" s="2">
        <v>0</v>
      </c>
      <c r="I37" s="2">
        <v>0</v>
      </c>
      <c r="J37" s="2">
        <v>0</v>
      </c>
      <c r="K37" s="2">
        <v>0</v>
      </c>
      <c r="L37" s="2">
        <v>0</v>
      </c>
      <c r="M37" s="2">
        <v>0</v>
      </c>
      <c r="N37" s="2">
        <v>0</v>
      </c>
      <c r="O37" s="2">
        <v>0</v>
      </c>
      <c r="P37" s="2">
        <v>0</v>
      </c>
      <c r="Q37" s="2">
        <v>0</v>
      </c>
      <c r="R37" s="2">
        <f>SUM(UnitsTable[[#This Row],[Psychiatrist/ Contracted Psychiatrist]:[Other Qualified Providers - Other Designated MH staff that bill medical]])</f>
        <v>0</v>
      </c>
    </row>
    <row r="38" spans="1:18" hidden="1" x14ac:dyDescent="0.25">
      <c r="A38" s="3" t="str">
        <f>INDEX(CodeMinutesTable[Frequently Used],MATCH(UnitsTable[[#This Row],[Billing Code]],CodeMinutesTable[Code],0))</f>
        <v>No</v>
      </c>
      <c r="B38" s="3" t="s">
        <v>111</v>
      </c>
      <c r="C38" t="s">
        <v>112</v>
      </c>
      <c r="D38" s="2">
        <v>0</v>
      </c>
      <c r="E38" s="2">
        <v>0</v>
      </c>
      <c r="F38" s="2">
        <v>0</v>
      </c>
      <c r="G38" s="2">
        <v>0</v>
      </c>
      <c r="H38" s="2">
        <v>0</v>
      </c>
      <c r="I38" s="2">
        <v>0</v>
      </c>
      <c r="J38" s="2">
        <v>0</v>
      </c>
      <c r="K38" s="2">
        <v>0</v>
      </c>
      <c r="L38" s="2">
        <v>0</v>
      </c>
      <c r="M38" s="2">
        <v>0</v>
      </c>
      <c r="N38" s="2">
        <v>0</v>
      </c>
      <c r="O38" s="2">
        <v>0</v>
      </c>
      <c r="P38" s="2">
        <v>0</v>
      </c>
      <c r="Q38" s="2">
        <v>0</v>
      </c>
      <c r="R38" s="2">
        <f>SUM(UnitsTable[[#This Row],[Psychiatrist/ Contracted Psychiatrist]:[Other Qualified Providers - Other Designated MH staff that bill medical]])</f>
        <v>0</v>
      </c>
    </row>
    <row r="39" spans="1:18" hidden="1" x14ac:dyDescent="0.25">
      <c r="A39" s="3" t="str">
        <f>INDEX(CodeMinutesTable[Frequently Used],MATCH(UnitsTable[[#This Row],[Billing Code]],CodeMinutesTable[Code],0))</f>
        <v>No</v>
      </c>
      <c r="B39" s="3" t="s">
        <v>113</v>
      </c>
      <c r="C39" t="s">
        <v>114</v>
      </c>
      <c r="D39" s="2">
        <v>0</v>
      </c>
      <c r="E39" s="2">
        <v>0</v>
      </c>
      <c r="F39" s="2">
        <v>0</v>
      </c>
      <c r="G39" s="2">
        <v>0</v>
      </c>
      <c r="H39" s="2">
        <v>0</v>
      </c>
      <c r="I39" s="2">
        <v>0</v>
      </c>
      <c r="J39" s="2">
        <v>0</v>
      </c>
      <c r="K39" s="2">
        <v>0</v>
      </c>
      <c r="L39" s="2">
        <v>0</v>
      </c>
      <c r="M39" s="2">
        <v>0</v>
      </c>
      <c r="N39" s="2">
        <v>0</v>
      </c>
      <c r="O39" s="2">
        <v>0</v>
      </c>
      <c r="P39" s="2">
        <v>0</v>
      </c>
      <c r="Q39" s="2">
        <v>0</v>
      </c>
      <c r="R39" s="2">
        <f>SUM(UnitsTable[[#This Row],[Psychiatrist/ Contracted Psychiatrist]:[Other Qualified Providers - Other Designated MH staff that bill medical]])</f>
        <v>0</v>
      </c>
    </row>
    <row r="40" spans="1:18" hidden="1" x14ac:dyDescent="0.25">
      <c r="A40" s="3" t="str">
        <f>INDEX(CodeMinutesTable[Frequently Used],MATCH(UnitsTable[[#This Row],[Billing Code]],CodeMinutesTable[Code],0))</f>
        <v>No</v>
      </c>
      <c r="B40" s="3" t="s">
        <v>115</v>
      </c>
      <c r="C40" t="s">
        <v>112</v>
      </c>
      <c r="D40" s="2">
        <v>0</v>
      </c>
      <c r="E40" s="2">
        <v>0</v>
      </c>
      <c r="F40" s="2">
        <v>0</v>
      </c>
      <c r="G40" s="2">
        <v>0</v>
      </c>
      <c r="H40" s="2">
        <v>0</v>
      </c>
      <c r="I40" s="2">
        <v>0</v>
      </c>
      <c r="J40" s="2">
        <v>0</v>
      </c>
      <c r="K40" s="2">
        <v>0</v>
      </c>
      <c r="L40" s="2">
        <v>0</v>
      </c>
      <c r="M40" s="2">
        <v>0</v>
      </c>
      <c r="N40" s="2">
        <v>0</v>
      </c>
      <c r="O40" s="2">
        <v>0</v>
      </c>
      <c r="P40" s="2">
        <v>0</v>
      </c>
      <c r="Q40" s="2">
        <v>0</v>
      </c>
      <c r="R40" s="2">
        <f>SUM(UnitsTable[[#This Row],[Psychiatrist/ Contracted Psychiatrist]:[Other Qualified Providers - Other Designated MH staff that bill medical]])</f>
        <v>0</v>
      </c>
    </row>
    <row r="41" spans="1:18" hidden="1" x14ac:dyDescent="0.25">
      <c r="A41" s="3" t="str">
        <f>INDEX(CodeMinutesTable[Frequently Used],MATCH(UnitsTable[[#This Row],[Billing Code]],CodeMinutesTable[Code],0))</f>
        <v>No</v>
      </c>
      <c r="B41" s="3" t="s">
        <v>116</v>
      </c>
      <c r="C41" t="s">
        <v>117</v>
      </c>
      <c r="D41" s="2">
        <v>0</v>
      </c>
      <c r="E41" s="2">
        <v>0</v>
      </c>
      <c r="F41" s="2">
        <v>0</v>
      </c>
      <c r="G41" s="2">
        <v>0</v>
      </c>
      <c r="H41" s="2">
        <v>0</v>
      </c>
      <c r="I41" s="2">
        <v>0</v>
      </c>
      <c r="J41" s="2">
        <v>0</v>
      </c>
      <c r="K41" s="2">
        <v>0</v>
      </c>
      <c r="L41" s="2">
        <v>0</v>
      </c>
      <c r="M41" s="2">
        <v>0</v>
      </c>
      <c r="N41" s="2">
        <v>0</v>
      </c>
      <c r="O41" s="2">
        <v>0</v>
      </c>
      <c r="P41" s="2">
        <v>0</v>
      </c>
      <c r="Q41" s="2">
        <v>0</v>
      </c>
      <c r="R41" s="2">
        <f>SUM(UnitsTable[[#This Row],[Psychiatrist/ Contracted Psychiatrist]:[Other Qualified Providers - Other Designated MH staff that bill medical]])</f>
        <v>0</v>
      </c>
    </row>
    <row r="42" spans="1:18" hidden="1" x14ac:dyDescent="0.25">
      <c r="A42" s="3" t="str">
        <f>INDEX(CodeMinutesTable[Frequently Used],MATCH(UnitsTable[[#This Row],[Billing Code]],CodeMinutesTable[Code],0))</f>
        <v>No</v>
      </c>
      <c r="B42" s="3" t="s">
        <v>118</v>
      </c>
      <c r="C42" t="s">
        <v>119</v>
      </c>
      <c r="D42" s="2">
        <v>0</v>
      </c>
      <c r="E42" s="2">
        <v>0</v>
      </c>
      <c r="F42" s="2">
        <v>0</v>
      </c>
      <c r="G42" s="2">
        <v>0</v>
      </c>
      <c r="H42" s="2">
        <v>0</v>
      </c>
      <c r="I42" s="2">
        <v>0</v>
      </c>
      <c r="J42" s="2">
        <v>0</v>
      </c>
      <c r="K42" s="2">
        <v>0</v>
      </c>
      <c r="L42" s="2">
        <v>0</v>
      </c>
      <c r="M42" s="2">
        <v>0</v>
      </c>
      <c r="N42" s="2">
        <v>0</v>
      </c>
      <c r="O42" s="2">
        <v>0</v>
      </c>
      <c r="P42" s="2">
        <v>0</v>
      </c>
      <c r="Q42" s="2">
        <v>0</v>
      </c>
      <c r="R42" s="2">
        <f>SUM(UnitsTable[[#This Row],[Psychiatrist/ Contracted Psychiatrist]:[Other Qualified Providers - Other Designated MH staff that bill medical]])</f>
        <v>0</v>
      </c>
    </row>
    <row r="43" spans="1:18" hidden="1" x14ac:dyDescent="0.25">
      <c r="A43" s="3" t="str">
        <f>INDEX(CodeMinutesTable[Frequently Used],MATCH(UnitsTable[[#This Row],[Billing Code]],CodeMinutesTable[Code],0))</f>
        <v>No</v>
      </c>
      <c r="B43" s="3" t="s">
        <v>120</v>
      </c>
      <c r="C43" t="s">
        <v>121</v>
      </c>
      <c r="D43" s="2">
        <v>0</v>
      </c>
      <c r="E43" s="2">
        <v>0</v>
      </c>
      <c r="F43" s="2">
        <v>0</v>
      </c>
      <c r="G43" s="2">
        <v>0</v>
      </c>
      <c r="H43" s="2">
        <v>0</v>
      </c>
      <c r="I43" s="2">
        <v>0</v>
      </c>
      <c r="J43" s="2">
        <v>0</v>
      </c>
      <c r="K43" s="2">
        <v>0</v>
      </c>
      <c r="L43" s="2">
        <v>0</v>
      </c>
      <c r="M43" s="2">
        <v>0</v>
      </c>
      <c r="N43" s="2">
        <v>0</v>
      </c>
      <c r="O43" s="2">
        <v>0</v>
      </c>
      <c r="P43" s="2">
        <v>0</v>
      </c>
      <c r="Q43" s="2">
        <v>0</v>
      </c>
      <c r="R43" s="2">
        <f>SUM(UnitsTable[[#This Row],[Psychiatrist/ Contracted Psychiatrist]:[Other Qualified Providers - Other Designated MH staff that bill medical]])</f>
        <v>0</v>
      </c>
    </row>
    <row r="44" spans="1:18" hidden="1" x14ac:dyDescent="0.25">
      <c r="A44" s="3" t="str">
        <f>INDEX(CodeMinutesTable[Frequently Used],MATCH(UnitsTable[[#This Row],[Billing Code]],CodeMinutesTable[Code],0))</f>
        <v>No</v>
      </c>
      <c r="B44" s="3" t="s">
        <v>122</v>
      </c>
      <c r="C44" t="s">
        <v>123</v>
      </c>
      <c r="D44" s="2">
        <v>0</v>
      </c>
      <c r="E44" s="2">
        <v>0</v>
      </c>
      <c r="F44" s="2">
        <v>0</v>
      </c>
      <c r="G44" s="2">
        <v>0</v>
      </c>
      <c r="H44" s="2">
        <v>0</v>
      </c>
      <c r="I44" s="2">
        <v>0</v>
      </c>
      <c r="J44" s="2">
        <v>0</v>
      </c>
      <c r="K44" s="2">
        <v>0</v>
      </c>
      <c r="L44" s="2">
        <v>0</v>
      </c>
      <c r="M44" s="2">
        <v>0</v>
      </c>
      <c r="N44" s="2">
        <v>0</v>
      </c>
      <c r="O44" s="2">
        <v>0</v>
      </c>
      <c r="P44" s="2">
        <v>0</v>
      </c>
      <c r="Q44" s="2">
        <v>0</v>
      </c>
      <c r="R44" s="2">
        <f>SUM(UnitsTable[[#This Row],[Psychiatrist/ Contracted Psychiatrist]:[Other Qualified Providers - Other Designated MH staff that bill medical]])</f>
        <v>0</v>
      </c>
    </row>
    <row r="45" spans="1:18" hidden="1" x14ac:dyDescent="0.25">
      <c r="A45" s="3" t="str">
        <f>INDEX(CodeMinutesTable[Frequently Used],MATCH(UnitsTable[[#This Row],[Billing Code]],CodeMinutesTable[Code],0))</f>
        <v>No</v>
      </c>
      <c r="B45" s="3" t="s">
        <v>124</v>
      </c>
      <c r="C45" t="s">
        <v>125</v>
      </c>
      <c r="D45" s="2">
        <v>0</v>
      </c>
      <c r="E45" s="2">
        <v>0</v>
      </c>
      <c r="F45" s="2">
        <v>0</v>
      </c>
      <c r="G45" s="2">
        <v>0</v>
      </c>
      <c r="H45" s="2">
        <v>0</v>
      </c>
      <c r="I45" s="2">
        <v>0</v>
      </c>
      <c r="J45" s="2">
        <v>0</v>
      </c>
      <c r="K45" s="2">
        <v>0</v>
      </c>
      <c r="L45" s="2">
        <v>0</v>
      </c>
      <c r="M45" s="2">
        <v>0</v>
      </c>
      <c r="N45" s="2">
        <v>0</v>
      </c>
      <c r="O45" s="2">
        <v>0</v>
      </c>
      <c r="P45" s="2">
        <v>0</v>
      </c>
      <c r="Q45" s="2">
        <v>0</v>
      </c>
      <c r="R45" s="2">
        <f>SUM(UnitsTable[[#This Row],[Psychiatrist/ Contracted Psychiatrist]:[Other Qualified Providers - Other Designated MH staff that bill medical]])</f>
        <v>0</v>
      </c>
    </row>
    <row r="46" spans="1:18" hidden="1" x14ac:dyDescent="0.25">
      <c r="A46" s="3" t="str">
        <f>INDEX(CodeMinutesTable[Frequently Used],MATCH(UnitsTable[[#This Row],[Billing Code]],CodeMinutesTable[Code],0))</f>
        <v>No</v>
      </c>
      <c r="B46" s="3" t="s">
        <v>126</v>
      </c>
      <c r="C46" t="s">
        <v>127</v>
      </c>
      <c r="D46" s="2">
        <v>0</v>
      </c>
      <c r="E46" s="2">
        <v>0</v>
      </c>
      <c r="F46" s="2">
        <v>0</v>
      </c>
      <c r="G46" s="2">
        <v>0</v>
      </c>
      <c r="H46" s="2">
        <v>0</v>
      </c>
      <c r="I46" s="2">
        <v>0</v>
      </c>
      <c r="J46" s="2">
        <v>0</v>
      </c>
      <c r="K46" s="2">
        <v>0</v>
      </c>
      <c r="L46" s="2">
        <v>0</v>
      </c>
      <c r="M46" s="2">
        <v>0</v>
      </c>
      <c r="N46" s="2">
        <v>0</v>
      </c>
      <c r="O46" s="2">
        <v>0</v>
      </c>
      <c r="P46" s="2">
        <v>0</v>
      </c>
      <c r="Q46" s="2">
        <v>0</v>
      </c>
      <c r="R46" s="2">
        <f>SUM(UnitsTable[[#This Row],[Psychiatrist/ Contracted Psychiatrist]:[Other Qualified Providers - Other Designated MH staff that bill medical]])</f>
        <v>0</v>
      </c>
    </row>
    <row r="47" spans="1:18" hidden="1" x14ac:dyDescent="0.25">
      <c r="A47" s="3" t="str">
        <f>INDEX(CodeMinutesTable[Frequently Used],MATCH(UnitsTable[[#This Row],[Billing Code]],CodeMinutesTable[Code],0))</f>
        <v>No</v>
      </c>
      <c r="B47" s="3" t="s">
        <v>128</v>
      </c>
      <c r="C47" t="s">
        <v>129</v>
      </c>
      <c r="D47" s="2">
        <v>0</v>
      </c>
      <c r="E47" s="2">
        <v>0</v>
      </c>
      <c r="F47" s="2">
        <v>0</v>
      </c>
      <c r="G47" s="2">
        <v>0</v>
      </c>
      <c r="H47" s="2">
        <v>0</v>
      </c>
      <c r="I47" s="2">
        <v>0</v>
      </c>
      <c r="J47" s="2">
        <v>0</v>
      </c>
      <c r="K47" s="2">
        <v>0</v>
      </c>
      <c r="L47" s="2">
        <v>0</v>
      </c>
      <c r="M47" s="2">
        <v>0</v>
      </c>
      <c r="N47" s="2">
        <v>0</v>
      </c>
      <c r="O47" s="2">
        <v>0</v>
      </c>
      <c r="P47" s="2">
        <v>0</v>
      </c>
      <c r="Q47" s="2">
        <v>0</v>
      </c>
      <c r="R47" s="2">
        <f>SUM(UnitsTable[[#This Row],[Psychiatrist/ Contracted Psychiatrist]:[Other Qualified Providers - Other Designated MH staff that bill medical]])</f>
        <v>0</v>
      </c>
    </row>
    <row r="48" spans="1:18" hidden="1" x14ac:dyDescent="0.25">
      <c r="A48" s="3" t="str">
        <f>INDEX(CodeMinutesTable[Frequently Used],MATCH(UnitsTable[[#This Row],[Billing Code]],CodeMinutesTable[Code],0))</f>
        <v>No</v>
      </c>
      <c r="B48" s="3" t="s">
        <v>130</v>
      </c>
      <c r="C48" t="s">
        <v>131</v>
      </c>
      <c r="D48" s="2">
        <v>0</v>
      </c>
      <c r="E48" s="2">
        <v>0</v>
      </c>
      <c r="F48" s="2">
        <v>0</v>
      </c>
      <c r="G48" s="2">
        <v>0</v>
      </c>
      <c r="H48" s="2">
        <v>0</v>
      </c>
      <c r="I48" s="2">
        <v>0</v>
      </c>
      <c r="J48" s="2">
        <v>0</v>
      </c>
      <c r="K48" s="2">
        <v>0</v>
      </c>
      <c r="L48" s="2">
        <v>0</v>
      </c>
      <c r="M48" s="2">
        <v>0</v>
      </c>
      <c r="N48" s="2">
        <v>0</v>
      </c>
      <c r="O48" s="2">
        <v>0</v>
      </c>
      <c r="P48" s="2">
        <v>0</v>
      </c>
      <c r="Q48" s="2">
        <v>0</v>
      </c>
      <c r="R48" s="2">
        <f>SUM(UnitsTable[[#This Row],[Psychiatrist/ Contracted Psychiatrist]:[Other Qualified Providers - Other Designated MH staff that bill medical]])</f>
        <v>0</v>
      </c>
    </row>
    <row r="49" spans="1:18" hidden="1" x14ac:dyDescent="0.25">
      <c r="A49" s="3" t="str">
        <f>INDEX(CodeMinutesTable[Frequently Used],MATCH(UnitsTable[[#This Row],[Billing Code]],CodeMinutesTable[Code],0))</f>
        <v>No</v>
      </c>
      <c r="B49" s="3" t="s">
        <v>132</v>
      </c>
      <c r="C49" t="s">
        <v>133</v>
      </c>
      <c r="D49" s="2">
        <v>0</v>
      </c>
      <c r="E49" s="2">
        <v>0</v>
      </c>
      <c r="F49" s="2">
        <v>0</v>
      </c>
      <c r="G49" s="2">
        <v>0</v>
      </c>
      <c r="H49" s="2">
        <v>0</v>
      </c>
      <c r="I49" s="2">
        <v>0</v>
      </c>
      <c r="J49" s="2">
        <v>0</v>
      </c>
      <c r="K49" s="2">
        <v>0</v>
      </c>
      <c r="L49" s="2">
        <v>0</v>
      </c>
      <c r="M49" s="2">
        <v>0</v>
      </c>
      <c r="N49" s="2">
        <v>0</v>
      </c>
      <c r="O49" s="2">
        <v>0</v>
      </c>
      <c r="P49" s="2">
        <v>0</v>
      </c>
      <c r="Q49" s="2">
        <v>0</v>
      </c>
      <c r="R49" s="2">
        <f>SUM(UnitsTable[[#This Row],[Psychiatrist/ Contracted Psychiatrist]:[Other Qualified Providers - Other Designated MH staff that bill medical]])</f>
        <v>0</v>
      </c>
    </row>
    <row r="50" spans="1:18" hidden="1" x14ac:dyDescent="0.25">
      <c r="A50" s="3" t="str">
        <f>INDEX(CodeMinutesTable[Frequently Used],MATCH(UnitsTable[[#This Row],[Billing Code]],CodeMinutesTable[Code],0))</f>
        <v>No</v>
      </c>
      <c r="B50" s="3" t="s">
        <v>134</v>
      </c>
      <c r="C50" t="s">
        <v>135</v>
      </c>
      <c r="D50" s="2">
        <v>0</v>
      </c>
      <c r="E50" s="2">
        <v>0</v>
      </c>
      <c r="F50" s="2">
        <v>0</v>
      </c>
      <c r="G50" s="2">
        <v>0</v>
      </c>
      <c r="H50" s="2">
        <v>0</v>
      </c>
      <c r="I50" s="2">
        <v>0</v>
      </c>
      <c r="J50" s="2">
        <v>0</v>
      </c>
      <c r="K50" s="2">
        <v>0</v>
      </c>
      <c r="L50" s="2">
        <v>0</v>
      </c>
      <c r="M50" s="2">
        <v>0</v>
      </c>
      <c r="N50" s="2">
        <v>0</v>
      </c>
      <c r="O50" s="2">
        <v>0</v>
      </c>
      <c r="P50" s="2">
        <v>0</v>
      </c>
      <c r="Q50" s="2">
        <v>0</v>
      </c>
      <c r="R50" s="2">
        <f>SUM(UnitsTable[[#This Row],[Psychiatrist/ Contracted Psychiatrist]:[Other Qualified Providers - Other Designated MH staff that bill medical]])</f>
        <v>0</v>
      </c>
    </row>
    <row r="51" spans="1:18" hidden="1" x14ac:dyDescent="0.25">
      <c r="A51" s="3" t="str">
        <f>INDEX(CodeMinutesTable[Frequently Used],MATCH(UnitsTable[[#This Row],[Billing Code]],CodeMinutesTable[Code],0))</f>
        <v>No</v>
      </c>
      <c r="B51" s="3" t="s">
        <v>136</v>
      </c>
      <c r="C51" t="s">
        <v>137</v>
      </c>
      <c r="D51" s="2">
        <v>0</v>
      </c>
      <c r="E51" s="2">
        <v>0</v>
      </c>
      <c r="F51" s="2">
        <v>0</v>
      </c>
      <c r="G51" s="2">
        <v>0</v>
      </c>
      <c r="H51" s="2">
        <v>0</v>
      </c>
      <c r="I51" s="2">
        <v>0</v>
      </c>
      <c r="J51" s="2">
        <v>0</v>
      </c>
      <c r="K51" s="2">
        <v>0</v>
      </c>
      <c r="L51" s="2">
        <v>0</v>
      </c>
      <c r="M51" s="2">
        <v>0</v>
      </c>
      <c r="N51" s="2">
        <v>0</v>
      </c>
      <c r="O51" s="2">
        <v>0</v>
      </c>
      <c r="P51" s="2">
        <v>0</v>
      </c>
      <c r="Q51" s="2">
        <v>0</v>
      </c>
      <c r="R51" s="2">
        <f>SUM(UnitsTable[[#This Row],[Psychiatrist/ Contracted Psychiatrist]:[Other Qualified Providers - Other Designated MH staff that bill medical]])</f>
        <v>0</v>
      </c>
    </row>
    <row r="52" spans="1:18" hidden="1" x14ac:dyDescent="0.25">
      <c r="A52" s="3" t="str">
        <f>INDEX(CodeMinutesTable[Frequently Used],MATCH(UnitsTable[[#This Row],[Billing Code]],CodeMinutesTable[Code],0))</f>
        <v>No</v>
      </c>
      <c r="B52" s="3" t="s">
        <v>138</v>
      </c>
      <c r="C52" t="s">
        <v>139</v>
      </c>
      <c r="D52" s="2">
        <v>0</v>
      </c>
      <c r="E52" s="2">
        <v>0</v>
      </c>
      <c r="F52" s="2">
        <v>0</v>
      </c>
      <c r="G52" s="2">
        <v>0</v>
      </c>
      <c r="H52" s="2">
        <v>0</v>
      </c>
      <c r="I52" s="2">
        <v>0</v>
      </c>
      <c r="J52" s="2">
        <v>0</v>
      </c>
      <c r="K52" s="2">
        <v>0</v>
      </c>
      <c r="L52" s="2">
        <v>0</v>
      </c>
      <c r="M52" s="2">
        <v>0</v>
      </c>
      <c r="N52" s="2">
        <v>0</v>
      </c>
      <c r="O52" s="2">
        <v>0</v>
      </c>
      <c r="P52" s="2">
        <v>0</v>
      </c>
      <c r="Q52" s="2">
        <v>0</v>
      </c>
      <c r="R52" s="2">
        <f>SUM(UnitsTable[[#This Row],[Psychiatrist/ Contracted Psychiatrist]:[Other Qualified Providers - Other Designated MH staff that bill medical]])</f>
        <v>0</v>
      </c>
    </row>
    <row r="53" spans="1:18" hidden="1" x14ac:dyDescent="0.25">
      <c r="A53" s="3" t="str">
        <f>INDEX(CodeMinutesTable[Frequently Used],MATCH(UnitsTable[[#This Row],[Billing Code]],CodeMinutesTable[Code],0))</f>
        <v>No</v>
      </c>
      <c r="B53" s="3" t="s">
        <v>140</v>
      </c>
      <c r="C53" t="s">
        <v>141</v>
      </c>
      <c r="D53" s="2">
        <v>0</v>
      </c>
      <c r="E53" s="2">
        <v>0</v>
      </c>
      <c r="F53" s="2">
        <v>0</v>
      </c>
      <c r="G53" s="2">
        <v>0</v>
      </c>
      <c r="H53" s="2">
        <v>0</v>
      </c>
      <c r="I53" s="2">
        <v>0</v>
      </c>
      <c r="J53" s="2">
        <v>0</v>
      </c>
      <c r="K53" s="2">
        <v>0</v>
      </c>
      <c r="L53" s="2">
        <v>0</v>
      </c>
      <c r="M53" s="2">
        <v>0</v>
      </c>
      <c r="N53" s="2">
        <v>0</v>
      </c>
      <c r="O53" s="2">
        <v>0</v>
      </c>
      <c r="P53" s="2">
        <v>0</v>
      </c>
      <c r="Q53" s="2">
        <v>0</v>
      </c>
      <c r="R53" s="2">
        <f>SUM(UnitsTable[[#This Row],[Psychiatrist/ Contracted Psychiatrist]:[Other Qualified Providers - Other Designated MH staff that bill medical]])</f>
        <v>0</v>
      </c>
    </row>
    <row r="54" spans="1:18" hidden="1" x14ac:dyDescent="0.25">
      <c r="A54" s="3" t="str">
        <f>INDEX(CodeMinutesTable[Frequently Used],MATCH(UnitsTable[[#This Row],[Billing Code]],CodeMinutesTable[Code],0))</f>
        <v>No</v>
      </c>
      <c r="B54" s="3" t="s">
        <v>142</v>
      </c>
      <c r="C54" t="s">
        <v>143</v>
      </c>
      <c r="D54" s="2">
        <v>0</v>
      </c>
      <c r="E54" s="2">
        <v>0</v>
      </c>
      <c r="F54" s="2">
        <v>0</v>
      </c>
      <c r="G54" s="2">
        <v>0</v>
      </c>
      <c r="H54" s="2">
        <v>0</v>
      </c>
      <c r="I54" s="2">
        <v>0</v>
      </c>
      <c r="J54" s="2">
        <v>0</v>
      </c>
      <c r="K54" s="2">
        <v>0</v>
      </c>
      <c r="L54" s="2">
        <v>0</v>
      </c>
      <c r="M54" s="2">
        <v>0</v>
      </c>
      <c r="N54" s="2">
        <v>0</v>
      </c>
      <c r="O54" s="2">
        <v>0</v>
      </c>
      <c r="P54" s="2">
        <v>0</v>
      </c>
      <c r="Q54" s="2">
        <v>0</v>
      </c>
      <c r="R54" s="2">
        <f>SUM(UnitsTable[[#This Row],[Psychiatrist/ Contracted Psychiatrist]:[Other Qualified Providers - Other Designated MH staff that bill medical]])</f>
        <v>0</v>
      </c>
    </row>
    <row r="55" spans="1:18" hidden="1" x14ac:dyDescent="0.25">
      <c r="A55" s="3" t="str">
        <f>INDEX(CodeMinutesTable[Frequently Used],MATCH(UnitsTable[[#This Row],[Billing Code]],CodeMinutesTable[Code],0))</f>
        <v>No</v>
      </c>
      <c r="B55" s="3" t="s">
        <v>144</v>
      </c>
      <c r="C55" t="s">
        <v>145</v>
      </c>
      <c r="D55" s="2">
        <v>0</v>
      </c>
      <c r="E55" s="2">
        <v>0</v>
      </c>
      <c r="F55" s="2">
        <v>0</v>
      </c>
      <c r="G55" s="2">
        <v>0</v>
      </c>
      <c r="H55" s="2">
        <v>0</v>
      </c>
      <c r="I55" s="2">
        <v>0</v>
      </c>
      <c r="J55" s="2">
        <v>0</v>
      </c>
      <c r="K55" s="2">
        <v>0</v>
      </c>
      <c r="L55" s="2">
        <v>0</v>
      </c>
      <c r="M55" s="2">
        <v>0</v>
      </c>
      <c r="N55" s="2">
        <v>0</v>
      </c>
      <c r="O55" s="2">
        <v>0</v>
      </c>
      <c r="P55" s="2">
        <v>0</v>
      </c>
      <c r="Q55" s="2">
        <v>0</v>
      </c>
      <c r="R55" s="2">
        <f>SUM(UnitsTable[[#This Row],[Psychiatrist/ Contracted Psychiatrist]:[Other Qualified Providers - Other Designated MH staff that bill medical]])</f>
        <v>0</v>
      </c>
    </row>
    <row r="56" spans="1:18" hidden="1" x14ac:dyDescent="0.25">
      <c r="A56" s="3" t="str">
        <f>INDEX(CodeMinutesTable[Frequently Used],MATCH(UnitsTable[[#This Row],[Billing Code]],CodeMinutesTable[Code],0))</f>
        <v>No</v>
      </c>
      <c r="B56" s="3" t="s">
        <v>146</v>
      </c>
      <c r="C56" t="s">
        <v>147</v>
      </c>
      <c r="D56" s="2">
        <v>0</v>
      </c>
      <c r="E56" s="2">
        <v>0</v>
      </c>
      <c r="F56" s="2">
        <v>0</v>
      </c>
      <c r="G56" s="2">
        <v>0</v>
      </c>
      <c r="H56" s="2">
        <v>0</v>
      </c>
      <c r="I56" s="2">
        <v>0</v>
      </c>
      <c r="J56" s="2">
        <v>0</v>
      </c>
      <c r="K56" s="2">
        <v>0</v>
      </c>
      <c r="L56" s="2">
        <v>0</v>
      </c>
      <c r="M56" s="2">
        <v>0</v>
      </c>
      <c r="N56" s="2">
        <v>0</v>
      </c>
      <c r="O56" s="2">
        <v>0</v>
      </c>
      <c r="P56" s="2">
        <v>0</v>
      </c>
      <c r="Q56" s="2">
        <v>0</v>
      </c>
      <c r="R56" s="2">
        <f>SUM(UnitsTable[[#This Row],[Psychiatrist/ Contracted Psychiatrist]:[Other Qualified Providers - Other Designated MH staff that bill medical]])</f>
        <v>0</v>
      </c>
    </row>
    <row r="57" spans="1:18" hidden="1" x14ac:dyDescent="0.25">
      <c r="A57" s="3" t="str">
        <f>INDEX(CodeMinutesTable[Frequently Used],MATCH(UnitsTable[[#This Row],[Billing Code]],CodeMinutesTable[Code],0))</f>
        <v>No</v>
      </c>
      <c r="B57" s="3" t="s">
        <v>148</v>
      </c>
      <c r="C57" t="s">
        <v>149</v>
      </c>
      <c r="D57" s="2">
        <v>0</v>
      </c>
      <c r="E57" s="2">
        <v>0</v>
      </c>
      <c r="F57" s="2">
        <v>0</v>
      </c>
      <c r="G57" s="2">
        <v>0</v>
      </c>
      <c r="H57" s="2">
        <v>0</v>
      </c>
      <c r="I57" s="2">
        <v>0</v>
      </c>
      <c r="J57" s="2">
        <v>0</v>
      </c>
      <c r="K57" s="2">
        <v>0</v>
      </c>
      <c r="L57" s="2">
        <v>0</v>
      </c>
      <c r="M57" s="2">
        <v>0</v>
      </c>
      <c r="N57" s="2">
        <v>0</v>
      </c>
      <c r="O57" s="2">
        <v>0</v>
      </c>
      <c r="P57" s="2">
        <v>0</v>
      </c>
      <c r="Q57" s="2">
        <v>0</v>
      </c>
      <c r="R57" s="2">
        <f>SUM(UnitsTable[[#This Row],[Psychiatrist/ Contracted Psychiatrist]:[Other Qualified Providers - Other Designated MH staff that bill medical]])</f>
        <v>0</v>
      </c>
    </row>
    <row r="58" spans="1:18" hidden="1" x14ac:dyDescent="0.25">
      <c r="A58" s="3" t="str">
        <f>INDEX(CodeMinutesTable[Frequently Used],MATCH(UnitsTable[[#This Row],[Billing Code]],CodeMinutesTable[Code],0))</f>
        <v>No</v>
      </c>
      <c r="B58" s="3" t="s">
        <v>150</v>
      </c>
      <c r="C58" t="s">
        <v>151</v>
      </c>
      <c r="D58" s="2">
        <v>0</v>
      </c>
      <c r="E58" s="2">
        <v>0</v>
      </c>
      <c r="F58" s="2">
        <v>0</v>
      </c>
      <c r="G58" s="2">
        <v>0</v>
      </c>
      <c r="H58" s="2">
        <v>0</v>
      </c>
      <c r="I58" s="2">
        <v>0</v>
      </c>
      <c r="J58" s="2">
        <v>0</v>
      </c>
      <c r="K58" s="2">
        <v>0</v>
      </c>
      <c r="L58" s="2">
        <v>0</v>
      </c>
      <c r="M58" s="2">
        <v>0</v>
      </c>
      <c r="N58" s="2">
        <v>0</v>
      </c>
      <c r="O58" s="2">
        <v>0</v>
      </c>
      <c r="P58" s="2">
        <v>0</v>
      </c>
      <c r="Q58" s="2">
        <v>0</v>
      </c>
      <c r="R58" s="2">
        <f>SUM(UnitsTable[[#This Row],[Psychiatrist/ Contracted Psychiatrist]:[Other Qualified Providers - Other Designated MH staff that bill medical]])</f>
        <v>0</v>
      </c>
    </row>
    <row r="59" spans="1:18" x14ac:dyDescent="0.25">
      <c r="A59" s="3" t="str">
        <f>INDEX(CodeMinutesTable[Frequently Used],MATCH(UnitsTable[[#This Row],[Billing Code]],CodeMinutesTable[Code],0))</f>
        <v>Yes</v>
      </c>
      <c r="B59" s="3" t="s">
        <v>152</v>
      </c>
      <c r="C59" t="s">
        <v>153</v>
      </c>
      <c r="D59" s="2">
        <v>0</v>
      </c>
      <c r="E59" s="2">
        <v>0</v>
      </c>
      <c r="F59" s="2">
        <v>0</v>
      </c>
      <c r="G59" s="2">
        <v>0</v>
      </c>
      <c r="H59" s="2">
        <v>0</v>
      </c>
      <c r="I59" s="2">
        <v>0</v>
      </c>
      <c r="J59" s="2">
        <v>0</v>
      </c>
      <c r="K59" s="2">
        <v>0</v>
      </c>
      <c r="L59" s="2">
        <v>0</v>
      </c>
      <c r="M59" s="2">
        <v>0</v>
      </c>
      <c r="N59" s="2">
        <v>0</v>
      </c>
      <c r="O59" s="2">
        <v>0</v>
      </c>
      <c r="P59" s="2">
        <v>0</v>
      </c>
      <c r="Q59" s="2">
        <v>0</v>
      </c>
      <c r="R59" s="2">
        <f>SUM(UnitsTable[[#This Row],[Psychiatrist/ Contracted Psychiatrist]:[Other Qualified Providers - Other Designated MH staff that bill medical]])</f>
        <v>0</v>
      </c>
    </row>
    <row r="60" spans="1:18" x14ac:dyDescent="0.25">
      <c r="A60" s="3" t="str">
        <f>INDEX(CodeMinutesTable[Frequently Used],MATCH(UnitsTable[[#This Row],[Billing Code]],CodeMinutesTable[Code],0))</f>
        <v>Yes</v>
      </c>
      <c r="B60" s="3" t="s">
        <v>154</v>
      </c>
      <c r="C60" t="s">
        <v>155</v>
      </c>
      <c r="D60" s="2">
        <v>0</v>
      </c>
      <c r="E60" s="2">
        <v>0</v>
      </c>
      <c r="F60" s="2">
        <v>0</v>
      </c>
      <c r="G60" s="2">
        <v>0</v>
      </c>
      <c r="H60" s="2">
        <v>0</v>
      </c>
      <c r="I60" s="2">
        <v>0</v>
      </c>
      <c r="J60" s="2">
        <v>0</v>
      </c>
      <c r="K60" s="2">
        <v>0</v>
      </c>
      <c r="L60" s="2">
        <v>0</v>
      </c>
      <c r="M60" s="2">
        <v>0</v>
      </c>
      <c r="N60" s="2">
        <v>0</v>
      </c>
      <c r="O60" s="2">
        <v>0</v>
      </c>
      <c r="P60" s="2">
        <v>0</v>
      </c>
      <c r="Q60" s="2">
        <v>0</v>
      </c>
      <c r="R60" s="2">
        <f>SUM(UnitsTable[[#This Row],[Psychiatrist/ Contracted Psychiatrist]:[Other Qualified Providers - Other Designated MH staff that bill medical]])</f>
        <v>0</v>
      </c>
    </row>
    <row r="61" spans="1:18" x14ac:dyDescent="0.25">
      <c r="A61" s="3" t="str">
        <f>INDEX(CodeMinutesTable[Frequently Used],MATCH(UnitsTable[[#This Row],[Billing Code]],CodeMinutesTable[Code],0))</f>
        <v>Yes</v>
      </c>
      <c r="B61" s="3" t="s">
        <v>156</v>
      </c>
      <c r="C61" t="s">
        <v>157</v>
      </c>
      <c r="D61" s="2">
        <v>0</v>
      </c>
      <c r="E61" s="2">
        <v>0</v>
      </c>
      <c r="F61" s="2">
        <v>0</v>
      </c>
      <c r="G61" s="2">
        <v>0</v>
      </c>
      <c r="H61" s="2">
        <v>0</v>
      </c>
      <c r="I61" s="2">
        <v>0</v>
      </c>
      <c r="J61" s="2">
        <v>0</v>
      </c>
      <c r="K61" s="2">
        <v>0</v>
      </c>
      <c r="L61" s="2">
        <v>0</v>
      </c>
      <c r="M61" s="2">
        <v>0</v>
      </c>
      <c r="N61" s="2">
        <v>0</v>
      </c>
      <c r="O61" s="2">
        <v>0</v>
      </c>
      <c r="P61" s="2">
        <v>0</v>
      </c>
      <c r="Q61" s="2">
        <v>0</v>
      </c>
      <c r="R61" s="2">
        <f>SUM(UnitsTable[[#This Row],[Psychiatrist/ Contracted Psychiatrist]:[Other Qualified Providers - Other Designated MH staff that bill medical]])</f>
        <v>0</v>
      </c>
    </row>
    <row r="62" spans="1:18" x14ac:dyDescent="0.25">
      <c r="A62" s="3" t="str">
        <f>INDEX(CodeMinutesTable[Frequently Used],MATCH(UnitsTable[[#This Row],[Billing Code]],CodeMinutesTable[Code],0))</f>
        <v>Yes</v>
      </c>
      <c r="B62" s="3" t="s">
        <v>158</v>
      </c>
      <c r="C62" t="s">
        <v>159</v>
      </c>
      <c r="D62" s="2">
        <v>0</v>
      </c>
      <c r="E62" s="2">
        <v>0</v>
      </c>
      <c r="F62" s="2">
        <v>0</v>
      </c>
      <c r="G62" s="2">
        <v>0</v>
      </c>
      <c r="H62" s="2">
        <v>0</v>
      </c>
      <c r="I62" s="2">
        <v>0</v>
      </c>
      <c r="J62" s="2">
        <v>0</v>
      </c>
      <c r="K62" s="2">
        <v>0</v>
      </c>
      <c r="L62" s="2">
        <v>0</v>
      </c>
      <c r="M62" s="2">
        <v>0</v>
      </c>
      <c r="N62" s="2">
        <v>0</v>
      </c>
      <c r="O62" s="2">
        <v>0</v>
      </c>
      <c r="P62" s="2">
        <v>0</v>
      </c>
      <c r="Q62" s="2">
        <v>0</v>
      </c>
      <c r="R62" s="2">
        <f>SUM(UnitsTable[[#This Row],[Psychiatrist/ Contracted Psychiatrist]:[Other Qualified Providers - Other Designated MH staff that bill medical]])</f>
        <v>0</v>
      </c>
    </row>
    <row r="63" spans="1:18" x14ac:dyDescent="0.25">
      <c r="A63" s="3" t="str">
        <f>INDEX(CodeMinutesTable[Frequently Used],MATCH(UnitsTable[[#This Row],[Billing Code]],CodeMinutesTable[Code],0))</f>
        <v>Yes</v>
      </c>
      <c r="B63" s="3" t="s">
        <v>160</v>
      </c>
      <c r="C63" t="s">
        <v>161</v>
      </c>
      <c r="D63" s="2">
        <v>0</v>
      </c>
      <c r="E63" s="2">
        <v>0</v>
      </c>
      <c r="F63" s="2">
        <v>0</v>
      </c>
      <c r="G63" s="2">
        <v>0</v>
      </c>
      <c r="H63" s="2">
        <v>0</v>
      </c>
      <c r="I63" s="2">
        <v>0</v>
      </c>
      <c r="J63" s="2">
        <v>0</v>
      </c>
      <c r="K63" s="2">
        <v>0</v>
      </c>
      <c r="L63" s="2">
        <v>0</v>
      </c>
      <c r="M63" s="2">
        <v>0</v>
      </c>
      <c r="N63" s="2">
        <v>0</v>
      </c>
      <c r="O63" s="2">
        <v>0</v>
      </c>
      <c r="P63" s="2">
        <v>0</v>
      </c>
      <c r="Q63" s="2">
        <v>0</v>
      </c>
      <c r="R63" s="2">
        <f>SUM(UnitsTable[[#This Row],[Psychiatrist/ Contracted Psychiatrist]:[Other Qualified Providers - Other Designated MH staff that bill medical]])</f>
        <v>0</v>
      </c>
    </row>
    <row r="64" spans="1:18" x14ac:dyDescent="0.25">
      <c r="A64" s="3" t="str">
        <f>INDEX(CodeMinutesTable[Frequently Used],MATCH(UnitsTable[[#This Row],[Billing Code]],CodeMinutesTable[Code],0))</f>
        <v>Yes</v>
      </c>
      <c r="B64" s="3" t="s">
        <v>162</v>
      </c>
      <c r="C64" t="s">
        <v>163</v>
      </c>
      <c r="D64" s="2">
        <v>0</v>
      </c>
      <c r="E64" s="2">
        <v>0</v>
      </c>
      <c r="F64" s="2">
        <v>0</v>
      </c>
      <c r="G64" s="2">
        <v>0</v>
      </c>
      <c r="H64" s="2">
        <v>0</v>
      </c>
      <c r="I64" s="2">
        <v>0</v>
      </c>
      <c r="J64" s="2">
        <v>0</v>
      </c>
      <c r="K64" s="2">
        <v>0</v>
      </c>
      <c r="L64" s="2">
        <v>0</v>
      </c>
      <c r="M64" s="2">
        <v>0</v>
      </c>
      <c r="N64" s="2">
        <v>0</v>
      </c>
      <c r="O64" s="2">
        <v>0</v>
      </c>
      <c r="P64" s="2">
        <v>0</v>
      </c>
      <c r="Q64" s="2">
        <v>0</v>
      </c>
      <c r="R64" s="2">
        <f>SUM(UnitsTable[[#This Row],[Psychiatrist/ Contracted Psychiatrist]:[Other Qualified Providers - Other Designated MH staff that bill medical]])</f>
        <v>0</v>
      </c>
    </row>
    <row r="65" spans="1:18" x14ac:dyDescent="0.25">
      <c r="A65" s="3" t="str">
        <f>INDEX(CodeMinutesTable[Frequently Used],MATCH(UnitsTable[[#This Row],[Billing Code]],CodeMinutesTable[Code],0))</f>
        <v>Yes</v>
      </c>
      <c r="B65" s="3" t="s">
        <v>164</v>
      </c>
      <c r="C65" t="s">
        <v>165</v>
      </c>
      <c r="D65" s="2">
        <v>0</v>
      </c>
      <c r="E65" s="2">
        <v>0</v>
      </c>
      <c r="F65" s="2">
        <v>0</v>
      </c>
      <c r="G65" s="2">
        <v>0</v>
      </c>
      <c r="H65" s="2">
        <v>0</v>
      </c>
      <c r="I65" s="2">
        <v>0</v>
      </c>
      <c r="J65" s="2">
        <v>0</v>
      </c>
      <c r="K65" s="2">
        <v>0</v>
      </c>
      <c r="L65" s="2">
        <v>0</v>
      </c>
      <c r="M65" s="2">
        <v>0</v>
      </c>
      <c r="N65" s="2">
        <v>0</v>
      </c>
      <c r="O65" s="2">
        <v>0</v>
      </c>
      <c r="P65" s="2">
        <v>0</v>
      </c>
      <c r="Q65" s="2">
        <v>0</v>
      </c>
      <c r="R65" s="2">
        <f>SUM(UnitsTable[[#This Row],[Psychiatrist/ Contracted Psychiatrist]:[Other Qualified Providers - Other Designated MH staff that bill medical]])</f>
        <v>0</v>
      </c>
    </row>
    <row r="66" spans="1:18" x14ac:dyDescent="0.25">
      <c r="A66" s="3" t="str">
        <f>INDEX(CodeMinutesTable[Frequently Used],MATCH(UnitsTable[[#This Row],[Billing Code]],CodeMinutesTable[Code],0))</f>
        <v>Yes</v>
      </c>
      <c r="B66" s="3" t="s">
        <v>166</v>
      </c>
      <c r="C66" t="s">
        <v>167</v>
      </c>
      <c r="D66" s="2">
        <v>0</v>
      </c>
      <c r="E66" s="2">
        <v>0</v>
      </c>
      <c r="F66" s="2">
        <v>0</v>
      </c>
      <c r="G66" s="2">
        <v>0</v>
      </c>
      <c r="H66" s="2">
        <v>0</v>
      </c>
      <c r="I66" s="2">
        <v>0</v>
      </c>
      <c r="J66" s="2">
        <v>0</v>
      </c>
      <c r="K66" s="2">
        <v>0</v>
      </c>
      <c r="L66" s="2">
        <v>0</v>
      </c>
      <c r="M66" s="2">
        <v>0</v>
      </c>
      <c r="N66" s="2">
        <v>0</v>
      </c>
      <c r="O66" s="2">
        <v>0</v>
      </c>
      <c r="P66" s="2">
        <v>0</v>
      </c>
      <c r="Q66" s="2">
        <v>0</v>
      </c>
      <c r="R66" s="2">
        <f>SUM(UnitsTable[[#This Row],[Psychiatrist/ Contracted Psychiatrist]:[Other Qualified Providers - Other Designated MH staff that bill medical]])</f>
        <v>0</v>
      </c>
    </row>
    <row r="67" spans="1:18" hidden="1" x14ac:dyDescent="0.25">
      <c r="A67" s="3" t="str">
        <f>INDEX(CodeMinutesTable[Frequently Used],MATCH(UnitsTable[[#This Row],[Billing Code]],CodeMinutesTable[Code],0))</f>
        <v>No</v>
      </c>
      <c r="B67" s="3" t="s">
        <v>168</v>
      </c>
      <c r="C67" t="s">
        <v>169</v>
      </c>
      <c r="D67" s="2">
        <v>0</v>
      </c>
      <c r="E67" s="2">
        <v>0</v>
      </c>
      <c r="F67" s="2">
        <v>0</v>
      </c>
      <c r="G67" s="2">
        <v>0</v>
      </c>
      <c r="H67" s="2">
        <v>0</v>
      </c>
      <c r="I67" s="2">
        <v>0</v>
      </c>
      <c r="J67" s="2">
        <v>0</v>
      </c>
      <c r="K67" s="2">
        <v>0</v>
      </c>
      <c r="L67" s="2">
        <v>0</v>
      </c>
      <c r="M67" s="2">
        <v>0</v>
      </c>
      <c r="N67" s="2">
        <v>0</v>
      </c>
      <c r="O67" s="2">
        <v>0</v>
      </c>
      <c r="P67" s="2">
        <v>0</v>
      </c>
      <c r="Q67" s="2">
        <v>0</v>
      </c>
      <c r="R67" s="2">
        <f>SUM(UnitsTable[[#This Row],[Psychiatrist/ Contracted Psychiatrist]:[Other Qualified Providers - Other Designated MH staff that bill medical]])</f>
        <v>0</v>
      </c>
    </row>
    <row r="68" spans="1:18" hidden="1" x14ac:dyDescent="0.25">
      <c r="A68" s="3" t="str">
        <f>INDEX(CodeMinutesTable[Frequently Used],MATCH(UnitsTable[[#This Row],[Billing Code]],CodeMinutesTable[Code],0))</f>
        <v>No</v>
      </c>
      <c r="B68" s="3" t="s">
        <v>170</v>
      </c>
      <c r="C68" t="s">
        <v>171</v>
      </c>
      <c r="D68" s="2">
        <v>0</v>
      </c>
      <c r="E68" s="2">
        <v>0</v>
      </c>
      <c r="F68" s="2">
        <v>0</v>
      </c>
      <c r="G68" s="2">
        <v>0</v>
      </c>
      <c r="H68" s="2">
        <v>0</v>
      </c>
      <c r="I68" s="2">
        <v>0</v>
      </c>
      <c r="J68" s="2">
        <v>0</v>
      </c>
      <c r="K68" s="2">
        <v>0</v>
      </c>
      <c r="L68" s="2">
        <v>0</v>
      </c>
      <c r="M68" s="2">
        <v>0</v>
      </c>
      <c r="N68" s="2">
        <v>0</v>
      </c>
      <c r="O68" s="2">
        <v>0</v>
      </c>
      <c r="P68" s="2">
        <v>0</v>
      </c>
      <c r="Q68" s="2">
        <v>0</v>
      </c>
      <c r="R68" s="2">
        <f>SUM(UnitsTable[[#This Row],[Psychiatrist/ Contracted Psychiatrist]:[Other Qualified Providers - Other Designated MH staff that bill medical]])</f>
        <v>0</v>
      </c>
    </row>
    <row r="69" spans="1:18" hidden="1" x14ac:dyDescent="0.25">
      <c r="A69" s="3" t="str">
        <f>INDEX(CodeMinutesTable[Frequently Used],MATCH(UnitsTable[[#This Row],[Billing Code]],CodeMinutesTable[Code],0))</f>
        <v>No</v>
      </c>
      <c r="B69" s="3" t="s">
        <v>172</v>
      </c>
      <c r="C69" t="s">
        <v>173</v>
      </c>
      <c r="D69" s="2">
        <v>0</v>
      </c>
      <c r="E69" s="2">
        <v>0</v>
      </c>
      <c r="F69" s="2">
        <v>0</v>
      </c>
      <c r="G69" s="2">
        <v>0</v>
      </c>
      <c r="H69" s="2">
        <v>0</v>
      </c>
      <c r="I69" s="2">
        <v>0</v>
      </c>
      <c r="J69" s="2">
        <v>0</v>
      </c>
      <c r="K69" s="2">
        <v>0</v>
      </c>
      <c r="L69" s="2">
        <v>0</v>
      </c>
      <c r="M69" s="2">
        <v>0</v>
      </c>
      <c r="N69" s="2">
        <v>0</v>
      </c>
      <c r="O69" s="2">
        <v>0</v>
      </c>
      <c r="P69" s="2">
        <v>0</v>
      </c>
      <c r="Q69" s="2">
        <v>0</v>
      </c>
      <c r="R69" s="2">
        <f>SUM(UnitsTable[[#This Row],[Psychiatrist/ Contracted Psychiatrist]:[Other Qualified Providers - Other Designated MH staff that bill medical]])</f>
        <v>0</v>
      </c>
    </row>
    <row r="70" spans="1:18" hidden="1" x14ac:dyDescent="0.25">
      <c r="A70" s="3" t="str">
        <f>INDEX(CodeMinutesTable[Frequently Used],MATCH(UnitsTable[[#This Row],[Billing Code]],CodeMinutesTable[Code],0))</f>
        <v>No</v>
      </c>
      <c r="B70" s="3" t="s">
        <v>174</v>
      </c>
      <c r="C70" t="s">
        <v>175</v>
      </c>
      <c r="D70" s="2">
        <v>0</v>
      </c>
      <c r="E70" s="2">
        <v>0</v>
      </c>
      <c r="F70" s="2">
        <v>0</v>
      </c>
      <c r="G70" s="2">
        <v>0</v>
      </c>
      <c r="H70" s="2">
        <v>0</v>
      </c>
      <c r="I70" s="2">
        <v>0</v>
      </c>
      <c r="J70" s="2">
        <v>0</v>
      </c>
      <c r="K70" s="2">
        <v>0</v>
      </c>
      <c r="L70" s="2">
        <v>0</v>
      </c>
      <c r="M70" s="2">
        <v>0</v>
      </c>
      <c r="N70" s="2">
        <v>0</v>
      </c>
      <c r="O70" s="2">
        <v>0</v>
      </c>
      <c r="P70" s="2">
        <v>0</v>
      </c>
      <c r="Q70" s="2">
        <v>0</v>
      </c>
      <c r="R70" s="2">
        <f>SUM(UnitsTable[[#This Row],[Psychiatrist/ Contracted Psychiatrist]:[Other Qualified Providers - Other Designated MH staff that bill medical]])</f>
        <v>0</v>
      </c>
    </row>
    <row r="71" spans="1:18" hidden="1" x14ac:dyDescent="0.25">
      <c r="A71" s="3" t="str">
        <f>INDEX(CodeMinutesTable[Frequently Used],MATCH(UnitsTable[[#This Row],[Billing Code]],CodeMinutesTable[Code],0))</f>
        <v>No</v>
      </c>
      <c r="B71" s="3" t="s">
        <v>176</v>
      </c>
      <c r="C71" t="s">
        <v>177</v>
      </c>
      <c r="D71" s="2">
        <v>0</v>
      </c>
      <c r="E71" s="2">
        <v>0</v>
      </c>
      <c r="F71" s="2">
        <v>0</v>
      </c>
      <c r="G71" s="2">
        <v>0</v>
      </c>
      <c r="H71" s="2">
        <v>0</v>
      </c>
      <c r="I71" s="2">
        <v>0</v>
      </c>
      <c r="J71" s="2">
        <v>0</v>
      </c>
      <c r="K71" s="2">
        <v>0</v>
      </c>
      <c r="L71" s="2">
        <v>0</v>
      </c>
      <c r="M71" s="2">
        <v>0</v>
      </c>
      <c r="N71" s="2">
        <v>0</v>
      </c>
      <c r="O71" s="2">
        <v>0</v>
      </c>
      <c r="P71" s="2">
        <v>0</v>
      </c>
      <c r="Q71" s="2">
        <v>0</v>
      </c>
      <c r="R71" s="2">
        <f>SUM(UnitsTable[[#This Row],[Psychiatrist/ Contracted Psychiatrist]:[Other Qualified Providers - Other Designated MH staff that bill medical]])</f>
        <v>0</v>
      </c>
    </row>
    <row r="72" spans="1:18" hidden="1" x14ac:dyDescent="0.25">
      <c r="A72" s="3" t="str">
        <f>INDEX(CodeMinutesTable[Frequently Used],MATCH(UnitsTable[[#This Row],[Billing Code]],CodeMinutesTable[Code],0))</f>
        <v>No</v>
      </c>
      <c r="B72" s="3" t="s">
        <v>178</v>
      </c>
      <c r="C72" t="s">
        <v>179</v>
      </c>
      <c r="D72" s="2">
        <v>0</v>
      </c>
      <c r="E72" s="2">
        <v>0</v>
      </c>
      <c r="F72" s="2">
        <v>0</v>
      </c>
      <c r="G72" s="2">
        <v>0</v>
      </c>
      <c r="H72" s="2">
        <v>0</v>
      </c>
      <c r="I72" s="2">
        <v>0</v>
      </c>
      <c r="J72" s="2">
        <v>0</v>
      </c>
      <c r="K72" s="2">
        <v>0</v>
      </c>
      <c r="L72" s="2">
        <v>0</v>
      </c>
      <c r="M72" s="2">
        <v>0</v>
      </c>
      <c r="N72" s="2">
        <v>0</v>
      </c>
      <c r="O72" s="2">
        <v>0</v>
      </c>
      <c r="P72" s="2">
        <v>0</v>
      </c>
      <c r="Q72" s="2">
        <v>0</v>
      </c>
      <c r="R72" s="2">
        <f>SUM(UnitsTable[[#This Row],[Psychiatrist/ Contracted Psychiatrist]:[Other Qualified Providers - Other Designated MH staff that bill medical]])</f>
        <v>0</v>
      </c>
    </row>
    <row r="73" spans="1:18" hidden="1" x14ac:dyDescent="0.25">
      <c r="A73" s="3" t="str">
        <f>INDEX(CodeMinutesTable[Frequently Used],MATCH(UnitsTable[[#This Row],[Billing Code]],CodeMinutesTable[Code],0))</f>
        <v>No</v>
      </c>
      <c r="B73" s="3" t="s">
        <v>180</v>
      </c>
      <c r="C73" t="s">
        <v>181</v>
      </c>
      <c r="D73" s="2">
        <v>0</v>
      </c>
      <c r="E73" s="2">
        <v>0</v>
      </c>
      <c r="F73" s="2">
        <v>0</v>
      </c>
      <c r="G73" s="2">
        <v>0</v>
      </c>
      <c r="H73" s="2">
        <v>0</v>
      </c>
      <c r="I73" s="2">
        <v>0</v>
      </c>
      <c r="J73" s="2">
        <v>0</v>
      </c>
      <c r="K73" s="2">
        <v>0</v>
      </c>
      <c r="L73" s="2">
        <v>0</v>
      </c>
      <c r="M73" s="2">
        <v>0</v>
      </c>
      <c r="N73" s="2">
        <v>0</v>
      </c>
      <c r="O73" s="2">
        <v>0</v>
      </c>
      <c r="P73" s="2">
        <v>0</v>
      </c>
      <c r="Q73" s="2">
        <v>0</v>
      </c>
      <c r="R73" s="2">
        <f>SUM(UnitsTable[[#This Row],[Psychiatrist/ Contracted Psychiatrist]:[Other Qualified Providers - Other Designated MH staff that bill medical]])</f>
        <v>0</v>
      </c>
    </row>
    <row r="74" spans="1:18" hidden="1" x14ac:dyDescent="0.25">
      <c r="A74" s="3" t="str">
        <f>INDEX(CodeMinutesTable[Frequently Used],MATCH(UnitsTable[[#This Row],[Billing Code]],CodeMinutesTable[Code],0))</f>
        <v>No</v>
      </c>
      <c r="B74" s="3" t="s">
        <v>182</v>
      </c>
      <c r="C74" t="s">
        <v>183</v>
      </c>
      <c r="D74" s="2">
        <v>0</v>
      </c>
      <c r="E74" s="2">
        <v>0</v>
      </c>
      <c r="F74" s="2">
        <v>0</v>
      </c>
      <c r="G74" s="2">
        <v>0</v>
      </c>
      <c r="H74" s="2">
        <v>0</v>
      </c>
      <c r="I74" s="2">
        <v>0</v>
      </c>
      <c r="J74" s="2">
        <v>0</v>
      </c>
      <c r="K74" s="2">
        <v>0</v>
      </c>
      <c r="L74" s="2">
        <v>0</v>
      </c>
      <c r="M74" s="2">
        <v>0</v>
      </c>
      <c r="N74" s="2">
        <v>0</v>
      </c>
      <c r="O74" s="2">
        <v>0</v>
      </c>
      <c r="P74" s="2">
        <v>0</v>
      </c>
      <c r="Q74" s="2">
        <v>0</v>
      </c>
      <c r="R74" s="2">
        <f>SUM(UnitsTable[[#This Row],[Psychiatrist/ Contracted Psychiatrist]:[Other Qualified Providers - Other Designated MH staff that bill medical]])</f>
        <v>0</v>
      </c>
    </row>
    <row r="75" spans="1:18" hidden="1" x14ac:dyDescent="0.25">
      <c r="A75" s="3" t="str">
        <f>INDEX(CodeMinutesTable[Frequently Used],MATCH(UnitsTable[[#This Row],[Billing Code]],CodeMinutesTable[Code],0))</f>
        <v>No</v>
      </c>
      <c r="B75" s="3" t="s">
        <v>184</v>
      </c>
      <c r="C75" t="s">
        <v>185</v>
      </c>
      <c r="D75" s="2">
        <v>0</v>
      </c>
      <c r="E75" s="2">
        <v>0</v>
      </c>
      <c r="F75" s="2">
        <v>0</v>
      </c>
      <c r="G75" s="2">
        <v>0</v>
      </c>
      <c r="H75" s="2">
        <v>0</v>
      </c>
      <c r="I75" s="2">
        <v>0</v>
      </c>
      <c r="J75" s="2">
        <v>0</v>
      </c>
      <c r="K75" s="2">
        <v>0</v>
      </c>
      <c r="L75" s="2">
        <v>0</v>
      </c>
      <c r="M75" s="2">
        <v>0</v>
      </c>
      <c r="N75" s="2">
        <v>0</v>
      </c>
      <c r="O75" s="2">
        <v>0</v>
      </c>
      <c r="P75" s="2">
        <v>0</v>
      </c>
      <c r="Q75" s="2">
        <v>0</v>
      </c>
      <c r="R75" s="2">
        <f>SUM(UnitsTable[[#This Row],[Psychiatrist/ Contracted Psychiatrist]:[Other Qualified Providers - Other Designated MH staff that bill medical]])</f>
        <v>0</v>
      </c>
    </row>
    <row r="76" spans="1:18" hidden="1" x14ac:dyDescent="0.25">
      <c r="A76" s="3" t="str">
        <f>INDEX(CodeMinutesTable[Frequently Used],MATCH(UnitsTable[[#This Row],[Billing Code]],CodeMinutesTable[Code],0))</f>
        <v>No</v>
      </c>
      <c r="B76" s="3" t="s">
        <v>186</v>
      </c>
      <c r="C76" t="s">
        <v>187</v>
      </c>
      <c r="D76" s="2">
        <v>0</v>
      </c>
      <c r="E76" s="2">
        <v>0</v>
      </c>
      <c r="F76" s="2">
        <v>0</v>
      </c>
      <c r="G76" s="2">
        <v>0</v>
      </c>
      <c r="H76" s="2">
        <v>0</v>
      </c>
      <c r="I76" s="2">
        <v>0</v>
      </c>
      <c r="J76" s="2">
        <v>0</v>
      </c>
      <c r="K76" s="2">
        <v>0</v>
      </c>
      <c r="L76" s="2">
        <v>0</v>
      </c>
      <c r="M76" s="2">
        <v>0</v>
      </c>
      <c r="N76" s="2">
        <v>0</v>
      </c>
      <c r="O76" s="2">
        <v>0</v>
      </c>
      <c r="P76" s="2">
        <v>0</v>
      </c>
      <c r="Q76" s="2">
        <v>0</v>
      </c>
      <c r="R76" s="2">
        <f>SUM(UnitsTable[[#This Row],[Psychiatrist/ Contracted Psychiatrist]:[Other Qualified Providers - Other Designated MH staff that bill medical]])</f>
        <v>0</v>
      </c>
    </row>
    <row r="77" spans="1:18" hidden="1" x14ac:dyDescent="0.25">
      <c r="A77" s="3" t="str">
        <f>INDEX(CodeMinutesTable[Frequently Used],MATCH(UnitsTable[[#This Row],[Billing Code]],CodeMinutesTable[Code],0))</f>
        <v>No</v>
      </c>
      <c r="B77" s="3" t="s">
        <v>188</v>
      </c>
      <c r="C77" t="s">
        <v>189</v>
      </c>
      <c r="D77" s="2">
        <v>0</v>
      </c>
      <c r="E77" s="2">
        <v>0</v>
      </c>
      <c r="F77" s="2">
        <v>0</v>
      </c>
      <c r="G77" s="2">
        <v>0</v>
      </c>
      <c r="H77" s="2">
        <v>0</v>
      </c>
      <c r="I77" s="2">
        <v>0</v>
      </c>
      <c r="J77" s="2">
        <v>0</v>
      </c>
      <c r="K77" s="2">
        <v>0</v>
      </c>
      <c r="L77" s="2">
        <v>0</v>
      </c>
      <c r="M77" s="2">
        <v>0</v>
      </c>
      <c r="N77" s="2">
        <v>0</v>
      </c>
      <c r="O77" s="2">
        <v>0</v>
      </c>
      <c r="P77" s="2">
        <v>0</v>
      </c>
      <c r="Q77" s="2">
        <v>0</v>
      </c>
      <c r="R77" s="2">
        <f>SUM(UnitsTable[[#This Row],[Psychiatrist/ Contracted Psychiatrist]:[Other Qualified Providers - Other Designated MH staff that bill medical]])</f>
        <v>0</v>
      </c>
    </row>
    <row r="78" spans="1:18" hidden="1" x14ac:dyDescent="0.25">
      <c r="A78" s="3" t="str">
        <f>INDEX(CodeMinutesTable[Frequently Used],MATCH(UnitsTable[[#This Row],[Billing Code]],CodeMinutesTable[Code],0))</f>
        <v>No</v>
      </c>
      <c r="B78" s="3" t="s">
        <v>190</v>
      </c>
      <c r="C78" t="s">
        <v>191</v>
      </c>
      <c r="D78" s="2">
        <v>0</v>
      </c>
      <c r="E78" s="2">
        <v>0</v>
      </c>
      <c r="F78" s="2">
        <v>0</v>
      </c>
      <c r="G78" s="2">
        <v>0</v>
      </c>
      <c r="H78" s="2">
        <v>0</v>
      </c>
      <c r="I78" s="2">
        <v>0</v>
      </c>
      <c r="J78" s="2">
        <v>0</v>
      </c>
      <c r="K78" s="2">
        <v>0</v>
      </c>
      <c r="L78" s="2">
        <v>0</v>
      </c>
      <c r="M78" s="2">
        <v>0</v>
      </c>
      <c r="N78" s="2">
        <v>0</v>
      </c>
      <c r="O78" s="2">
        <v>0</v>
      </c>
      <c r="P78" s="2">
        <v>0</v>
      </c>
      <c r="Q78" s="2">
        <v>0</v>
      </c>
      <c r="R78" s="2">
        <f>SUM(UnitsTable[[#This Row],[Psychiatrist/ Contracted Psychiatrist]:[Other Qualified Providers - Other Designated MH staff that bill medical]])</f>
        <v>0</v>
      </c>
    </row>
    <row r="79" spans="1:18" hidden="1" x14ac:dyDescent="0.25">
      <c r="A79" s="3" t="str">
        <f>INDEX(CodeMinutesTable[Frequently Used],MATCH(UnitsTable[[#This Row],[Billing Code]],CodeMinutesTable[Code],0))</f>
        <v>No</v>
      </c>
      <c r="B79" s="3" t="s">
        <v>192</v>
      </c>
      <c r="C79" t="s">
        <v>193</v>
      </c>
      <c r="D79" s="2">
        <v>0</v>
      </c>
      <c r="E79" s="2">
        <v>0</v>
      </c>
      <c r="F79" s="2">
        <v>0</v>
      </c>
      <c r="G79" s="2">
        <v>0</v>
      </c>
      <c r="H79" s="2">
        <v>0</v>
      </c>
      <c r="I79" s="2">
        <v>0</v>
      </c>
      <c r="J79" s="2">
        <v>0</v>
      </c>
      <c r="K79" s="2">
        <v>0</v>
      </c>
      <c r="L79" s="2">
        <v>0</v>
      </c>
      <c r="M79" s="2">
        <v>0</v>
      </c>
      <c r="N79" s="2">
        <v>0</v>
      </c>
      <c r="O79" s="2">
        <v>0</v>
      </c>
      <c r="P79" s="2">
        <v>0</v>
      </c>
      <c r="Q79" s="2">
        <v>0</v>
      </c>
      <c r="R79" s="2">
        <f>SUM(UnitsTable[[#This Row],[Psychiatrist/ Contracted Psychiatrist]:[Other Qualified Providers - Other Designated MH staff that bill medical]])</f>
        <v>0</v>
      </c>
    </row>
    <row r="80" spans="1:18" hidden="1" x14ac:dyDescent="0.25">
      <c r="A80" s="3" t="str">
        <f>INDEX(CodeMinutesTable[Frequently Used],MATCH(UnitsTable[[#This Row],[Billing Code]],CodeMinutesTable[Code],0))</f>
        <v>No</v>
      </c>
      <c r="B80" s="3" t="s">
        <v>194</v>
      </c>
      <c r="C80" t="s">
        <v>195</v>
      </c>
      <c r="D80" s="2">
        <v>0</v>
      </c>
      <c r="E80" s="2">
        <v>0</v>
      </c>
      <c r="F80" s="2">
        <v>0</v>
      </c>
      <c r="G80" s="2">
        <v>0</v>
      </c>
      <c r="H80" s="2">
        <v>0</v>
      </c>
      <c r="I80" s="2">
        <v>0</v>
      </c>
      <c r="J80" s="2">
        <v>0</v>
      </c>
      <c r="K80" s="2">
        <v>0</v>
      </c>
      <c r="L80" s="2">
        <v>0</v>
      </c>
      <c r="M80" s="2">
        <v>0</v>
      </c>
      <c r="N80" s="2">
        <v>0</v>
      </c>
      <c r="O80" s="2">
        <v>0</v>
      </c>
      <c r="P80" s="2">
        <v>0</v>
      </c>
      <c r="Q80" s="2">
        <v>0</v>
      </c>
      <c r="R80" s="2">
        <f>SUM(UnitsTable[[#This Row],[Psychiatrist/ Contracted Psychiatrist]:[Other Qualified Providers - Other Designated MH staff that bill medical]])</f>
        <v>0</v>
      </c>
    </row>
    <row r="81" spans="1:18" hidden="1" x14ac:dyDescent="0.25">
      <c r="A81" s="3" t="str">
        <f>INDEX(CodeMinutesTable[Frequently Used],MATCH(UnitsTable[[#This Row],[Billing Code]],CodeMinutesTable[Code],0))</f>
        <v>No</v>
      </c>
      <c r="B81" s="3" t="s">
        <v>196</v>
      </c>
      <c r="C81" t="s">
        <v>197</v>
      </c>
      <c r="D81" s="2">
        <v>0</v>
      </c>
      <c r="E81" s="2">
        <v>0</v>
      </c>
      <c r="F81" s="2">
        <v>0</v>
      </c>
      <c r="G81" s="2">
        <v>0</v>
      </c>
      <c r="H81" s="2">
        <v>0</v>
      </c>
      <c r="I81" s="2">
        <v>0</v>
      </c>
      <c r="J81" s="2">
        <v>0</v>
      </c>
      <c r="K81" s="2">
        <v>0</v>
      </c>
      <c r="L81" s="2">
        <v>0</v>
      </c>
      <c r="M81" s="2">
        <v>0</v>
      </c>
      <c r="N81" s="2">
        <v>0</v>
      </c>
      <c r="O81" s="2">
        <v>0</v>
      </c>
      <c r="P81" s="2">
        <v>0</v>
      </c>
      <c r="Q81" s="2">
        <v>0</v>
      </c>
      <c r="R81" s="2">
        <f>SUM(UnitsTable[[#This Row],[Psychiatrist/ Contracted Psychiatrist]:[Other Qualified Providers - Other Designated MH staff that bill medical]])</f>
        <v>0</v>
      </c>
    </row>
    <row r="82" spans="1:18" hidden="1" x14ac:dyDescent="0.25">
      <c r="A82" s="3" t="str">
        <f>INDEX(CodeMinutesTable[Frequently Used],MATCH(UnitsTable[[#This Row],[Billing Code]],CodeMinutesTable[Code],0))</f>
        <v>No</v>
      </c>
      <c r="B82" s="3" t="s">
        <v>198</v>
      </c>
      <c r="C82" t="s">
        <v>199</v>
      </c>
      <c r="D82" s="2">
        <v>0</v>
      </c>
      <c r="E82" s="2">
        <v>0</v>
      </c>
      <c r="F82" s="2">
        <v>0</v>
      </c>
      <c r="G82" s="2">
        <v>0</v>
      </c>
      <c r="H82" s="2">
        <v>0</v>
      </c>
      <c r="I82" s="2">
        <v>0</v>
      </c>
      <c r="J82" s="2">
        <v>0</v>
      </c>
      <c r="K82" s="2">
        <v>0</v>
      </c>
      <c r="L82" s="2">
        <v>0</v>
      </c>
      <c r="M82" s="2">
        <v>0</v>
      </c>
      <c r="N82" s="2">
        <v>0</v>
      </c>
      <c r="O82" s="2">
        <v>0</v>
      </c>
      <c r="P82" s="2">
        <v>0</v>
      </c>
      <c r="Q82" s="2">
        <v>0</v>
      </c>
      <c r="R82" s="2">
        <f>SUM(UnitsTable[[#This Row],[Psychiatrist/ Contracted Psychiatrist]:[Other Qualified Providers - Other Designated MH staff that bill medical]])</f>
        <v>0</v>
      </c>
    </row>
    <row r="83" spans="1:18" hidden="1" x14ac:dyDescent="0.25">
      <c r="A83" s="3" t="str">
        <f>INDEX(CodeMinutesTable[Frequently Used],MATCH(UnitsTable[[#This Row],[Billing Code]],CodeMinutesTable[Code],0))</f>
        <v>No</v>
      </c>
      <c r="B83" s="3" t="s">
        <v>200</v>
      </c>
      <c r="C83" t="s">
        <v>201</v>
      </c>
      <c r="D83" s="2">
        <v>0</v>
      </c>
      <c r="E83" s="2">
        <v>0</v>
      </c>
      <c r="F83" s="2">
        <v>0</v>
      </c>
      <c r="G83" s="2">
        <v>0</v>
      </c>
      <c r="H83" s="2">
        <v>0</v>
      </c>
      <c r="I83" s="2">
        <v>0</v>
      </c>
      <c r="J83" s="2">
        <v>0</v>
      </c>
      <c r="K83" s="2">
        <v>0</v>
      </c>
      <c r="L83" s="2">
        <v>0</v>
      </c>
      <c r="M83" s="2">
        <v>0</v>
      </c>
      <c r="N83" s="2">
        <v>0</v>
      </c>
      <c r="O83" s="2">
        <v>0</v>
      </c>
      <c r="P83" s="2">
        <v>0</v>
      </c>
      <c r="Q83" s="2">
        <v>0</v>
      </c>
      <c r="R83" s="2">
        <f>SUM(UnitsTable[[#This Row],[Psychiatrist/ Contracted Psychiatrist]:[Other Qualified Providers - Other Designated MH staff that bill medical]])</f>
        <v>0</v>
      </c>
    </row>
    <row r="84" spans="1:18" hidden="1" x14ac:dyDescent="0.25">
      <c r="A84" s="3" t="str">
        <f>INDEX(CodeMinutesTable[Frequently Used],MATCH(UnitsTable[[#This Row],[Billing Code]],CodeMinutesTable[Code],0))</f>
        <v>No</v>
      </c>
      <c r="B84" s="3" t="s">
        <v>202</v>
      </c>
      <c r="C84" t="s">
        <v>203</v>
      </c>
      <c r="D84" s="2">
        <v>0</v>
      </c>
      <c r="E84" s="2">
        <v>0</v>
      </c>
      <c r="F84" s="2">
        <v>0</v>
      </c>
      <c r="G84" s="2">
        <v>0</v>
      </c>
      <c r="H84" s="2">
        <v>0</v>
      </c>
      <c r="I84" s="2">
        <v>0</v>
      </c>
      <c r="J84" s="2">
        <v>0</v>
      </c>
      <c r="K84" s="2">
        <v>0</v>
      </c>
      <c r="L84" s="2">
        <v>0</v>
      </c>
      <c r="M84" s="2">
        <v>0</v>
      </c>
      <c r="N84" s="2">
        <v>0</v>
      </c>
      <c r="O84" s="2">
        <v>0</v>
      </c>
      <c r="P84" s="2">
        <v>0</v>
      </c>
      <c r="Q84" s="2">
        <v>0</v>
      </c>
      <c r="R84" s="2">
        <f>SUM(UnitsTable[[#This Row],[Psychiatrist/ Contracted Psychiatrist]:[Other Qualified Providers - Other Designated MH staff that bill medical]])</f>
        <v>0</v>
      </c>
    </row>
    <row r="85" spans="1:18" hidden="1" x14ac:dyDescent="0.25">
      <c r="A85" s="3" t="str">
        <f>INDEX(CodeMinutesTable[Frequently Used],MATCH(UnitsTable[[#This Row],[Billing Code]],CodeMinutesTable[Code],0))</f>
        <v>No</v>
      </c>
      <c r="B85" s="3" t="s">
        <v>204</v>
      </c>
      <c r="C85" t="s">
        <v>205</v>
      </c>
      <c r="D85" s="2">
        <v>0</v>
      </c>
      <c r="E85" s="2">
        <v>0</v>
      </c>
      <c r="F85" s="2">
        <v>0</v>
      </c>
      <c r="G85" s="2">
        <v>0</v>
      </c>
      <c r="H85" s="2">
        <v>0</v>
      </c>
      <c r="I85" s="2">
        <v>0</v>
      </c>
      <c r="J85" s="2">
        <v>0</v>
      </c>
      <c r="K85" s="2">
        <v>0</v>
      </c>
      <c r="L85" s="2">
        <v>0</v>
      </c>
      <c r="M85" s="2">
        <v>0</v>
      </c>
      <c r="N85" s="2">
        <v>0</v>
      </c>
      <c r="O85" s="2">
        <v>0</v>
      </c>
      <c r="P85" s="2">
        <v>0</v>
      </c>
      <c r="Q85" s="2">
        <v>0</v>
      </c>
      <c r="R85" s="2">
        <f>SUM(UnitsTable[[#This Row],[Psychiatrist/ Contracted Psychiatrist]:[Other Qualified Providers - Other Designated MH staff that bill medical]])</f>
        <v>0</v>
      </c>
    </row>
    <row r="86" spans="1:18" hidden="1" x14ac:dyDescent="0.25">
      <c r="A86" s="3" t="str">
        <f>INDEX(CodeMinutesTable[Frequently Used],MATCH(UnitsTable[[#This Row],[Billing Code]],CodeMinutesTable[Code],0))</f>
        <v>No</v>
      </c>
      <c r="B86" s="3" t="s">
        <v>206</v>
      </c>
      <c r="C86" t="s">
        <v>207</v>
      </c>
      <c r="D86" s="2">
        <v>0</v>
      </c>
      <c r="E86" s="2">
        <v>0</v>
      </c>
      <c r="F86" s="2">
        <v>0</v>
      </c>
      <c r="G86" s="2">
        <v>0</v>
      </c>
      <c r="H86" s="2">
        <v>0</v>
      </c>
      <c r="I86" s="2">
        <v>0</v>
      </c>
      <c r="J86" s="2">
        <v>0</v>
      </c>
      <c r="K86" s="2">
        <v>0</v>
      </c>
      <c r="L86" s="2">
        <v>0</v>
      </c>
      <c r="M86" s="2">
        <v>0</v>
      </c>
      <c r="N86" s="2">
        <v>0</v>
      </c>
      <c r="O86" s="2">
        <v>0</v>
      </c>
      <c r="P86" s="2">
        <v>0</v>
      </c>
      <c r="Q86" s="2">
        <v>0</v>
      </c>
      <c r="R86" s="2">
        <f>SUM(UnitsTable[[#This Row],[Psychiatrist/ Contracted Psychiatrist]:[Other Qualified Providers - Other Designated MH staff that bill medical]])</f>
        <v>0</v>
      </c>
    </row>
    <row r="87" spans="1:18" hidden="1" x14ac:dyDescent="0.25">
      <c r="A87" s="3" t="str">
        <f>INDEX(CodeMinutesTable[Frequently Used],MATCH(UnitsTable[[#This Row],[Billing Code]],CodeMinutesTable[Code],0))</f>
        <v>No</v>
      </c>
      <c r="B87" s="3" t="s">
        <v>208</v>
      </c>
      <c r="C87" t="s">
        <v>209</v>
      </c>
      <c r="D87" s="2">
        <v>0</v>
      </c>
      <c r="E87" s="2">
        <v>0</v>
      </c>
      <c r="F87" s="2">
        <v>0</v>
      </c>
      <c r="G87" s="2">
        <v>0</v>
      </c>
      <c r="H87" s="2">
        <v>0</v>
      </c>
      <c r="I87" s="2">
        <v>0</v>
      </c>
      <c r="J87" s="2">
        <v>0</v>
      </c>
      <c r="K87" s="2">
        <v>0</v>
      </c>
      <c r="L87" s="2">
        <v>0</v>
      </c>
      <c r="M87" s="2">
        <v>0</v>
      </c>
      <c r="N87" s="2">
        <v>0</v>
      </c>
      <c r="O87" s="2">
        <v>0</v>
      </c>
      <c r="P87" s="2">
        <v>0</v>
      </c>
      <c r="Q87" s="2">
        <v>0</v>
      </c>
      <c r="R87" s="2">
        <f>SUM(UnitsTable[[#This Row],[Psychiatrist/ Contracted Psychiatrist]:[Other Qualified Providers - Other Designated MH staff that bill medical]])</f>
        <v>0</v>
      </c>
    </row>
    <row r="88" spans="1:18" hidden="1" x14ac:dyDescent="0.25">
      <c r="A88" s="3" t="str">
        <f>INDEX(CodeMinutesTable[Frequently Used],MATCH(UnitsTable[[#This Row],[Billing Code]],CodeMinutesTable[Code],0))</f>
        <v>No</v>
      </c>
      <c r="B88" s="3" t="s">
        <v>210</v>
      </c>
      <c r="C88" t="s">
        <v>211</v>
      </c>
      <c r="D88" s="2">
        <v>0</v>
      </c>
      <c r="E88" s="2">
        <v>0</v>
      </c>
      <c r="F88" s="2">
        <v>0</v>
      </c>
      <c r="G88" s="2">
        <v>0</v>
      </c>
      <c r="H88" s="2">
        <v>0</v>
      </c>
      <c r="I88" s="2">
        <v>0</v>
      </c>
      <c r="J88" s="2">
        <v>0</v>
      </c>
      <c r="K88" s="2">
        <v>0</v>
      </c>
      <c r="L88" s="2">
        <v>0</v>
      </c>
      <c r="M88" s="2">
        <v>0</v>
      </c>
      <c r="N88" s="2">
        <v>0</v>
      </c>
      <c r="O88" s="2">
        <v>0</v>
      </c>
      <c r="P88" s="2">
        <v>0</v>
      </c>
      <c r="Q88" s="2">
        <v>0</v>
      </c>
      <c r="R88" s="2">
        <f>SUM(UnitsTable[[#This Row],[Psychiatrist/ Contracted Psychiatrist]:[Other Qualified Providers - Other Designated MH staff that bill medical]])</f>
        <v>0</v>
      </c>
    </row>
    <row r="89" spans="1:18" hidden="1" x14ac:dyDescent="0.25">
      <c r="A89" s="3" t="str">
        <f>INDEX(CodeMinutesTable[Frequently Used],MATCH(UnitsTable[[#This Row],[Billing Code]],CodeMinutesTable[Code],0))</f>
        <v>No</v>
      </c>
      <c r="B89" s="3" t="s">
        <v>212</v>
      </c>
      <c r="C89" t="s">
        <v>213</v>
      </c>
      <c r="D89" s="2">
        <v>0</v>
      </c>
      <c r="E89" s="2">
        <v>0</v>
      </c>
      <c r="F89" s="2">
        <v>0</v>
      </c>
      <c r="G89" s="2">
        <v>0</v>
      </c>
      <c r="H89" s="2">
        <v>0</v>
      </c>
      <c r="I89" s="2">
        <v>0</v>
      </c>
      <c r="J89" s="2">
        <v>0</v>
      </c>
      <c r="K89" s="2">
        <v>0</v>
      </c>
      <c r="L89" s="2">
        <v>0</v>
      </c>
      <c r="M89" s="2">
        <v>0</v>
      </c>
      <c r="N89" s="2">
        <v>0</v>
      </c>
      <c r="O89" s="2">
        <v>0</v>
      </c>
      <c r="P89" s="2">
        <v>0</v>
      </c>
      <c r="Q89" s="2">
        <v>0</v>
      </c>
      <c r="R89" s="2">
        <f>SUM(UnitsTable[[#This Row],[Psychiatrist/ Contracted Psychiatrist]:[Other Qualified Providers - Other Designated MH staff that bill medical]])</f>
        <v>0</v>
      </c>
    </row>
    <row r="90" spans="1:18" hidden="1" x14ac:dyDescent="0.25">
      <c r="A90" s="3" t="str">
        <f>INDEX(CodeMinutesTable[Frequently Used],MATCH(UnitsTable[[#This Row],[Billing Code]],CodeMinutesTable[Code],0))</f>
        <v>No</v>
      </c>
      <c r="B90" s="3" t="s">
        <v>214</v>
      </c>
      <c r="C90" t="s">
        <v>215</v>
      </c>
      <c r="D90" s="2">
        <v>0</v>
      </c>
      <c r="E90" s="2">
        <v>0</v>
      </c>
      <c r="F90" s="2">
        <v>0</v>
      </c>
      <c r="G90" s="2">
        <v>0</v>
      </c>
      <c r="H90" s="2">
        <v>0</v>
      </c>
      <c r="I90" s="2">
        <v>0</v>
      </c>
      <c r="J90" s="2">
        <v>0</v>
      </c>
      <c r="K90" s="2">
        <v>0</v>
      </c>
      <c r="L90" s="2">
        <v>0</v>
      </c>
      <c r="M90" s="2">
        <v>0</v>
      </c>
      <c r="N90" s="2">
        <v>0</v>
      </c>
      <c r="O90" s="2">
        <v>0</v>
      </c>
      <c r="P90" s="2">
        <v>0</v>
      </c>
      <c r="Q90" s="2">
        <v>0</v>
      </c>
      <c r="R90" s="2">
        <f>SUM(UnitsTable[[#This Row],[Psychiatrist/ Contracted Psychiatrist]:[Other Qualified Providers - Other Designated MH staff that bill medical]])</f>
        <v>0</v>
      </c>
    </row>
    <row r="91" spans="1:18" hidden="1" x14ac:dyDescent="0.25">
      <c r="A91" s="3" t="str">
        <f>INDEX(CodeMinutesTable[Frequently Used],MATCH(UnitsTable[[#This Row],[Billing Code]],CodeMinutesTable[Code],0))</f>
        <v>No</v>
      </c>
      <c r="B91" s="3" t="s">
        <v>216</v>
      </c>
      <c r="C91" t="s">
        <v>217</v>
      </c>
      <c r="D91" s="2">
        <v>0</v>
      </c>
      <c r="E91" s="2">
        <v>0</v>
      </c>
      <c r="F91" s="2">
        <v>0</v>
      </c>
      <c r="G91" s="2">
        <v>0</v>
      </c>
      <c r="H91" s="2">
        <v>0</v>
      </c>
      <c r="I91" s="2">
        <v>0</v>
      </c>
      <c r="J91" s="2">
        <v>0</v>
      </c>
      <c r="K91" s="2">
        <v>0</v>
      </c>
      <c r="L91" s="2">
        <v>0</v>
      </c>
      <c r="M91" s="2">
        <v>0</v>
      </c>
      <c r="N91" s="2">
        <v>0</v>
      </c>
      <c r="O91" s="2">
        <v>0</v>
      </c>
      <c r="P91" s="2">
        <v>0</v>
      </c>
      <c r="Q91" s="2">
        <v>0</v>
      </c>
      <c r="R91" s="2">
        <f>SUM(UnitsTable[[#This Row],[Psychiatrist/ Contracted Psychiatrist]:[Other Qualified Providers - Other Designated MH staff that bill medical]])</f>
        <v>0</v>
      </c>
    </row>
    <row r="92" spans="1:18" hidden="1" x14ac:dyDescent="0.25">
      <c r="A92" s="3" t="str">
        <f>INDEX(CodeMinutesTable[Frequently Used],MATCH(UnitsTable[[#This Row],[Billing Code]],CodeMinutesTable[Code],0))</f>
        <v>No</v>
      </c>
      <c r="B92" s="3" t="s">
        <v>218</v>
      </c>
      <c r="C92" t="s">
        <v>219</v>
      </c>
      <c r="D92" s="2">
        <v>0</v>
      </c>
      <c r="E92" s="2">
        <v>0</v>
      </c>
      <c r="F92" s="2">
        <v>0</v>
      </c>
      <c r="G92" s="2">
        <v>0</v>
      </c>
      <c r="H92" s="2">
        <v>0</v>
      </c>
      <c r="I92" s="2">
        <v>0</v>
      </c>
      <c r="J92" s="2">
        <v>0</v>
      </c>
      <c r="K92" s="2">
        <v>0</v>
      </c>
      <c r="L92" s="2">
        <v>0</v>
      </c>
      <c r="M92" s="2">
        <v>0</v>
      </c>
      <c r="N92" s="2">
        <v>0</v>
      </c>
      <c r="O92" s="2">
        <v>0</v>
      </c>
      <c r="P92" s="2">
        <v>0</v>
      </c>
      <c r="Q92" s="2">
        <v>0</v>
      </c>
      <c r="R92" s="2">
        <f>SUM(UnitsTable[[#This Row],[Psychiatrist/ Contracted Psychiatrist]:[Other Qualified Providers - Other Designated MH staff that bill medical]])</f>
        <v>0</v>
      </c>
    </row>
    <row r="93" spans="1:18" hidden="1" x14ac:dyDescent="0.25">
      <c r="A93" s="3" t="str">
        <f>INDEX(CodeMinutesTable[Frequently Used],MATCH(UnitsTable[[#This Row],[Billing Code]],CodeMinutesTable[Code],0))</f>
        <v>No</v>
      </c>
      <c r="B93" s="3" t="s">
        <v>220</v>
      </c>
      <c r="C93" t="s">
        <v>221</v>
      </c>
      <c r="D93" s="2">
        <v>0</v>
      </c>
      <c r="E93" s="2">
        <v>0</v>
      </c>
      <c r="F93" s="2">
        <v>0</v>
      </c>
      <c r="G93" s="2">
        <v>0</v>
      </c>
      <c r="H93" s="2">
        <v>0</v>
      </c>
      <c r="I93" s="2">
        <v>0</v>
      </c>
      <c r="J93" s="2">
        <v>0</v>
      </c>
      <c r="K93" s="2">
        <v>0</v>
      </c>
      <c r="L93" s="2">
        <v>0</v>
      </c>
      <c r="M93" s="2">
        <v>0</v>
      </c>
      <c r="N93" s="2">
        <v>0</v>
      </c>
      <c r="O93" s="2">
        <v>0</v>
      </c>
      <c r="P93" s="2">
        <v>0</v>
      </c>
      <c r="Q93" s="2">
        <v>0</v>
      </c>
      <c r="R93" s="2">
        <f>SUM(UnitsTable[[#This Row],[Psychiatrist/ Contracted Psychiatrist]:[Other Qualified Providers - Other Designated MH staff that bill medical]])</f>
        <v>0</v>
      </c>
    </row>
    <row r="94" spans="1:18" hidden="1" x14ac:dyDescent="0.25">
      <c r="A94" s="3" t="str">
        <f>INDEX(CodeMinutesTable[Frequently Used],MATCH(UnitsTable[[#This Row],[Billing Code]],CodeMinutesTable[Code],0))</f>
        <v>No</v>
      </c>
      <c r="B94" s="3" t="s">
        <v>222</v>
      </c>
      <c r="C94" t="s">
        <v>223</v>
      </c>
      <c r="D94" s="2">
        <v>0</v>
      </c>
      <c r="E94" s="2">
        <v>0</v>
      </c>
      <c r="F94" s="2">
        <v>0</v>
      </c>
      <c r="G94" s="2">
        <v>0</v>
      </c>
      <c r="H94" s="2">
        <v>0</v>
      </c>
      <c r="I94" s="2">
        <v>0</v>
      </c>
      <c r="J94" s="2">
        <v>0</v>
      </c>
      <c r="K94" s="2">
        <v>0</v>
      </c>
      <c r="L94" s="2">
        <v>0</v>
      </c>
      <c r="M94" s="2">
        <v>0</v>
      </c>
      <c r="N94" s="2">
        <v>0</v>
      </c>
      <c r="O94" s="2">
        <v>0</v>
      </c>
      <c r="P94" s="2">
        <v>0</v>
      </c>
      <c r="Q94" s="2">
        <v>0</v>
      </c>
      <c r="R94" s="2">
        <f>SUM(UnitsTable[[#This Row],[Psychiatrist/ Contracted Psychiatrist]:[Other Qualified Providers - Other Designated MH staff that bill medical]])</f>
        <v>0</v>
      </c>
    </row>
    <row r="95" spans="1:18" hidden="1" x14ac:dyDescent="0.25">
      <c r="A95" s="3" t="str">
        <f>INDEX(CodeMinutesTable[Frequently Used],MATCH(UnitsTable[[#This Row],[Billing Code]],CodeMinutesTable[Code],0))</f>
        <v>No</v>
      </c>
      <c r="B95" s="3" t="s">
        <v>224</v>
      </c>
      <c r="C95" t="s">
        <v>225</v>
      </c>
      <c r="D95" s="2">
        <v>0</v>
      </c>
      <c r="E95" s="2">
        <v>0</v>
      </c>
      <c r="F95" s="2">
        <v>0</v>
      </c>
      <c r="G95" s="2">
        <v>0</v>
      </c>
      <c r="H95" s="2">
        <v>0</v>
      </c>
      <c r="I95" s="2">
        <v>0</v>
      </c>
      <c r="J95" s="2">
        <v>0</v>
      </c>
      <c r="K95" s="2">
        <v>0</v>
      </c>
      <c r="L95" s="2">
        <v>0</v>
      </c>
      <c r="M95" s="2">
        <v>0</v>
      </c>
      <c r="N95" s="2">
        <v>0</v>
      </c>
      <c r="O95" s="2">
        <v>0</v>
      </c>
      <c r="P95" s="2">
        <v>0</v>
      </c>
      <c r="Q95" s="2">
        <v>0</v>
      </c>
      <c r="R95" s="2">
        <f>SUM(UnitsTable[[#This Row],[Psychiatrist/ Contracted Psychiatrist]:[Other Qualified Providers - Other Designated MH staff that bill medical]])</f>
        <v>0</v>
      </c>
    </row>
    <row r="96" spans="1:18" hidden="1" x14ac:dyDescent="0.25">
      <c r="A96" s="3" t="str">
        <f>INDEX(CodeMinutesTable[Frequently Used],MATCH(UnitsTable[[#This Row],[Billing Code]],CodeMinutesTable[Code],0))</f>
        <v>No</v>
      </c>
      <c r="B96" s="3" t="s">
        <v>226</v>
      </c>
      <c r="C96" t="s">
        <v>227</v>
      </c>
      <c r="D96" s="2">
        <v>0</v>
      </c>
      <c r="E96" s="2">
        <v>0</v>
      </c>
      <c r="F96" s="2">
        <v>0</v>
      </c>
      <c r="G96" s="2">
        <v>0</v>
      </c>
      <c r="H96" s="2">
        <v>0</v>
      </c>
      <c r="I96" s="2">
        <v>0</v>
      </c>
      <c r="J96" s="2">
        <v>0</v>
      </c>
      <c r="K96" s="2">
        <v>0</v>
      </c>
      <c r="L96" s="2">
        <v>0</v>
      </c>
      <c r="M96" s="2">
        <v>0</v>
      </c>
      <c r="N96" s="2">
        <v>0</v>
      </c>
      <c r="O96" s="2">
        <v>0</v>
      </c>
      <c r="P96" s="2">
        <v>0</v>
      </c>
      <c r="Q96" s="2">
        <v>0</v>
      </c>
      <c r="R96" s="2">
        <f>SUM(UnitsTable[[#This Row],[Psychiatrist/ Contracted Psychiatrist]:[Other Qualified Providers - Other Designated MH staff that bill medical]])</f>
        <v>0</v>
      </c>
    </row>
    <row r="97" spans="1:18" hidden="1" x14ac:dyDescent="0.25">
      <c r="A97" s="3" t="str">
        <f>INDEX(CodeMinutesTable[Frequently Used],MATCH(UnitsTable[[#This Row],[Billing Code]],CodeMinutesTable[Code],0))</f>
        <v>No</v>
      </c>
      <c r="B97" s="3" t="s">
        <v>228</v>
      </c>
      <c r="C97" t="s">
        <v>229</v>
      </c>
      <c r="D97" s="2">
        <v>0</v>
      </c>
      <c r="E97" s="2">
        <v>0</v>
      </c>
      <c r="F97" s="2">
        <v>0</v>
      </c>
      <c r="G97" s="2">
        <v>0</v>
      </c>
      <c r="H97" s="2">
        <v>0</v>
      </c>
      <c r="I97" s="2">
        <v>0</v>
      </c>
      <c r="J97" s="2">
        <v>0</v>
      </c>
      <c r="K97" s="2">
        <v>0</v>
      </c>
      <c r="L97" s="2">
        <v>0</v>
      </c>
      <c r="M97" s="2">
        <v>0</v>
      </c>
      <c r="N97" s="2">
        <v>0</v>
      </c>
      <c r="O97" s="2">
        <v>0</v>
      </c>
      <c r="P97" s="2">
        <v>0</v>
      </c>
      <c r="Q97" s="2">
        <v>0</v>
      </c>
      <c r="R97" s="2">
        <f>SUM(UnitsTable[[#This Row],[Psychiatrist/ Contracted Psychiatrist]:[Other Qualified Providers - Other Designated MH staff that bill medical]])</f>
        <v>0</v>
      </c>
    </row>
    <row r="98" spans="1:18" hidden="1" x14ac:dyDescent="0.25">
      <c r="A98" s="3" t="str">
        <f>INDEX(CodeMinutesTable[Frequently Used],MATCH(UnitsTable[[#This Row],[Billing Code]],CodeMinutesTable[Code],0))</f>
        <v>No</v>
      </c>
      <c r="B98" s="3" t="s">
        <v>230</v>
      </c>
      <c r="C98" t="s">
        <v>231</v>
      </c>
      <c r="D98" s="2">
        <v>0</v>
      </c>
      <c r="E98" s="2">
        <v>0</v>
      </c>
      <c r="F98" s="2">
        <v>0</v>
      </c>
      <c r="G98" s="2">
        <v>0</v>
      </c>
      <c r="H98" s="2">
        <v>0</v>
      </c>
      <c r="I98" s="2">
        <v>0</v>
      </c>
      <c r="J98" s="2">
        <v>0</v>
      </c>
      <c r="K98" s="2">
        <v>0</v>
      </c>
      <c r="L98" s="2">
        <v>0</v>
      </c>
      <c r="M98" s="2">
        <v>0</v>
      </c>
      <c r="N98" s="2">
        <v>0</v>
      </c>
      <c r="O98" s="2">
        <v>0</v>
      </c>
      <c r="P98" s="2">
        <v>0</v>
      </c>
      <c r="Q98" s="2">
        <v>0</v>
      </c>
      <c r="R98" s="2">
        <f>SUM(UnitsTable[[#This Row],[Psychiatrist/ Contracted Psychiatrist]:[Other Qualified Providers - Other Designated MH staff that bill medical]])</f>
        <v>0</v>
      </c>
    </row>
    <row r="99" spans="1:18" hidden="1" x14ac:dyDescent="0.25">
      <c r="A99" s="3" t="str">
        <f>INDEX(CodeMinutesTable[Frequently Used],MATCH(UnitsTable[[#This Row],[Billing Code]],CodeMinutesTable[Code],0))</f>
        <v>No</v>
      </c>
      <c r="B99" s="3" t="s">
        <v>232</v>
      </c>
      <c r="C99" t="s">
        <v>233</v>
      </c>
      <c r="D99" s="2">
        <v>0</v>
      </c>
      <c r="E99" s="2">
        <v>0</v>
      </c>
      <c r="F99" s="2">
        <v>0</v>
      </c>
      <c r="G99" s="2">
        <v>0</v>
      </c>
      <c r="H99" s="2">
        <v>0</v>
      </c>
      <c r="I99" s="2">
        <v>0</v>
      </c>
      <c r="J99" s="2">
        <v>0</v>
      </c>
      <c r="K99" s="2">
        <v>0</v>
      </c>
      <c r="L99" s="2">
        <v>0</v>
      </c>
      <c r="M99" s="2">
        <v>0</v>
      </c>
      <c r="N99" s="2">
        <v>0</v>
      </c>
      <c r="O99" s="2">
        <v>0</v>
      </c>
      <c r="P99" s="2">
        <v>0</v>
      </c>
      <c r="Q99" s="2">
        <v>0</v>
      </c>
      <c r="R99" s="2">
        <f>SUM(UnitsTable[[#This Row],[Psychiatrist/ Contracted Psychiatrist]:[Other Qualified Providers - Other Designated MH staff that bill medical]])</f>
        <v>0</v>
      </c>
    </row>
    <row r="100" spans="1:18" hidden="1" x14ac:dyDescent="0.25">
      <c r="A100" s="3" t="str">
        <f>INDEX(CodeMinutesTable[Frequently Used],MATCH(UnitsTable[[#This Row],[Billing Code]],CodeMinutesTable[Code],0))</f>
        <v>No</v>
      </c>
      <c r="B100" s="3" t="s">
        <v>234</v>
      </c>
      <c r="C100" t="s">
        <v>235</v>
      </c>
      <c r="D100" s="2">
        <v>0</v>
      </c>
      <c r="E100" s="2">
        <v>0</v>
      </c>
      <c r="F100" s="2">
        <v>0</v>
      </c>
      <c r="G100" s="2">
        <v>0</v>
      </c>
      <c r="H100" s="2">
        <v>0</v>
      </c>
      <c r="I100" s="2">
        <v>0</v>
      </c>
      <c r="J100" s="2">
        <v>0</v>
      </c>
      <c r="K100" s="2">
        <v>0</v>
      </c>
      <c r="L100" s="2">
        <v>0</v>
      </c>
      <c r="M100" s="2">
        <v>0</v>
      </c>
      <c r="N100" s="2">
        <v>0</v>
      </c>
      <c r="O100" s="2">
        <v>0</v>
      </c>
      <c r="P100" s="2">
        <v>0</v>
      </c>
      <c r="Q100" s="2">
        <v>0</v>
      </c>
      <c r="R100" s="2">
        <f>SUM(UnitsTable[[#This Row],[Psychiatrist/ Contracted Psychiatrist]:[Other Qualified Providers - Other Designated MH staff that bill medical]])</f>
        <v>0</v>
      </c>
    </row>
    <row r="101" spans="1:18" hidden="1" x14ac:dyDescent="0.25">
      <c r="A101" s="3" t="str">
        <f>INDEX(CodeMinutesTable[Frequently Used],MATCH(UnitsTable[[#This Row],[Billing Code]],CodeMinutesTable[Code],0))</f>
        <v>No</v>
      </c>
      <c r="B101" s="3" t="s">
        <v>236</v>
      </c>
      <c r="C101" t="s">
        <v>237</v>
      </c>
      <c r="D101" s="2">
        <v>0</v>
      </c>
      <c r="E101" s="2">
        <v>0</v>
      </c>
      <c r="F101" s="2">
        <v>0</v>
      </c>
      <c r="G101" s="2">
        <v>0</v>
      </c>
      <c r="H101" s="2">
        <v>0</v>
      </c>
      <c r="I101" s="2">
        <v>0</v>
      </c>
      <c r="J101" s="2">
        <v>0</v>
      </c>
      <c r="K101" s="2">
        <v>0</v>
      </c>
      <c r="L101" s="2">
        <v>0</v>
      </c>
      <c r="M101" s="2">
        <v>0</v>
      </c>
      <c r="N101" s="2">
        <v>0</v>
      </c>
      <c r="O101" s="2">
        <v>0</v>
      </c>
      <c r="P101" s="2">
        <v>0</v>
      </c>
      <c r="Q101" s="2">
        <v>0</v>
      </c>
      <c r="R101" s="2">
        <f>SUM(UnitsTable[[#This Row],[Psychiatrist/ Contracted Psychiatrist]:[Other Qualified Providers - Other Designated MH staff that bill medical]])</f>
        <v>0</v>
      </c>
    </row>
    <row r="102" spans="1:18" hidden="1" x14ac:dyDescent="0.25">
      <c r="A102" s="3" t="str">
        <f>INDEX(CodeMinutesTable[Frequently Used],MATCH(UnitsTable[[#This Row],[Billing Code]],CodeMinutesTable[Code],0))</f>
        <v>No</v>
      </c>
      <c r="B102" s="3" t="s">
        <v>238</v>
      </c>
      <c r="C102" t="s">
        <v>239</v>
      </c>
      <c r="D102" s="2">
        <v>0</v>
      </c>
      <c r="E102" s="2">
        <v>0</v>
      </c>
      <c r="F102" s="2">
        <v>0</v>
      </c>
      <c r="G102" s="2">
        <v>0</v>
      </c>
      <c r="H102" s="2">
        <v>0</v>
      </c>
      <c r="I102" s="2">
        <v>0</v>
      </c>
      <c r="J102" s="2">
        <v>0</v>
      </c>
      <c r="K102" s="2">
        <v>0</v>
      </c>
      <c r="L102" s="2">
        <v>0</v>
      </c>
      <c r="M102" s="2">
        <v>0</v>
      </c>
      <c r="N102" s="2">
        <v>0</v>
      </c>
      <c r="O102" s="2">
        <v>0</v>
      </c>
      <c r="P102" s="2">
        <v>0</v>
      </c>
      <c r="Q102" s="2">
        <v>0</v>
      </c>
      <c r="R102" s="2">
        <f>SUM(UnitsTable[[#This Row],[Psychiatrist/ Contracted Psychiatrist]:[Other Qualified Providers - Other Designated MH staff that bill medical]])</f>
        <v>0</v>
      </c>
    </row>
    <row r="103" spans="1:18" hidden="1" x14ac:dyDescent="0.25">
      <c r="A103" s="3" t="str">
        <f>INDEX(CodeMinutesTable[Frequently Used],MATCH(UnitsTable[[#This Row],[Billing Code]],CodeMinutesTable[Code],0))</f>
        <v>No</v>
      </c>
      <c r="B103" s="3" t="s">
        <v>240</v>
      </c>
      <c r="C103" t="s">
        <v>241</v>
      </c>
      <c r="D103" s="2">
        <v>0</v>
      </c>
      <c r="E103" s="2">
        <v>0</v>
      </c>
      <c r="F103" s="2">
        <v>0</v>
      </c>
      <c r="G103" s="2">
        <v>0</v>
      </c>
      <c r="H103" s="2">
        <v>0</v>
      </c>
      <c r="I103" s="2">
        <v>0</v>
      </c>
      <c r="J103" s="2">
        <v>0</v>
      </c>
      <c r="K103" s="2">
        <v>0</v>
      </c>
      <c r="L103" s="2">
        <v>0</v>
      </c>
      <c r="M103" s="2">
        <v>0</v>
      </c>
      <c r="N103" s="2">
        <v>0</v>
      </c>
      <c r="O103" s="2">
        <v>0</v>
      </c>
      <c r="P103" s="2">
        <v>0</v>
      </c>
      <c r="Q103" s="2">
        <v>0</v>
      </c>
      <c r="R103" s="2">
        <f>SUM(UnitsTable[[#This Row],[Psychiatrist/ Contracted Psychiatrist]:[Other Qualified Providers - Other Designated MH staff that bill medical]])</f>
        <v>0</v>
      </c>
    </row>
    <row r="104" spans="1:18" hidden="1" x14ac:dyDescent="0.25">
      <c r="A104" s="3" t="str">
        <f>INDEX(CodeMinutesTable[Frequently Used],MATCH(UnitsTable[[#This Row],[Billing Code]],CodeMinutesTable[Code],0))</f>
        <v>No</v>
      </c>
      <c r="B104" s="3" t="s">
        <v>242</v>
      </c>
      <c r="C104" t="s">
        <v>243</v>
      </c>
      <c r="D104" s="2">
        <v>0</v>
      </c>
      <c r="E104" s="2">
        <v>0</v>
      </c>
      <c r="F104" s="2">
        <v>0</v>
      </c>
      <c r="G104" s="2">
        <v>0</v>
      </c>
      <c r="H104" s="2">
        <v>0</v>
      </c>
      <c r="I104" s="2">
        <v>0</v>
      </c>
      <c r="J104" s="2">
        <v>0</v>
      </c>
      <c r="K104" s="2">
        <v>0</v>
      </c>
      <c r="L104" s="2">
        <v>0</v>
      </c>
      <c r="M104" s="2">
        <v>0</v>
      </c>
      <c r="N104" s="2">
        <v>0</v>
      </c>
      <c r="O104" s="2">
        <v>0</v>
      </c>
      <c r="P104" s="2">
        <v>0</v>
      </c>
      <c r="Q104" s="2">
        <v>0</v>
      </c>
      <c r="R104" s="2">
        <f>SUM(UnitsTable[[#This Row],[Psychiatrist/ Contracted Psychiatrist]:[Other Qualified Providers - Other Designated MH staff that bill medical]])</f>
        <v>0</v>
      </c>
    </row>
    <row r="105" spans="1:18" hidden="1" x14ac:dyDescent="0.25">
      <c r="A105" s="3" t="str">
        <f>INDEX(CodeMinutesTable[Frequently Used],MATCH(UnitsTable[[#This Row],[Billing Code]],CodeMinutesTable[Code],0))</f>
        <v>No</v>
      </c>
      <c r="B105" s="3" t="s">
        <v>244</v>
      </c>
      <c r="C105" t="s">
        <v>245</v>
      </c>
      <c r="D105" s="2">
        <v>0</v>
      </c>
      <c r="E105" s="2">
        <v>0</v>
      </c>
      <c r="F105" s="2">
        <v>0</v>
      </c>
      <c r="G105" s="2">
        <v>0</v>
      </c>
      <c r="H105" s="2">
        <v>0</v>
      </c>
      <c r="I105" s="2">
        <v>0</v>
      </c>
      <c r="J105" s="2">
        <v>0</v>
      </c>
      <c r="K105" s="2">
        <v>0</v>
      </c>
      <c r="L105" s="2">
        <v>0</v>
      </c>
      <c r="M105" s="2">
        <v>0</v>
      </c>
      <c r="N105" s="2">
        <v>0</v>
      </c>
      <c r="O105" s="2">
        <v>0</v>
      </c>
      <c r="P105" s="2">
        <v>0</v>
      </c>
      <c r="Q105" s="2">
        <v>0</v>
      </c>
      <c r="R105" s="2">
        <f>SUM(UnitsTable[[#This Row],[Psychiatrist/ Contracted Psychiatrist]:[Other Qualified Providers - Other Designated MH staff that bill medical]])</f>
        <v>0</v>
      </c>
    </row>
    <row r="106" spans="1:18" hidden="1" x14ac:dyDescent="0.25">
      <c r="A106" s="3" t="str">
        <f>INDEX(CodeMinutesTable[Frequently Used],MATCH(UnitsTable[[#This Row],[Billing Code]],CodeMinutesTable[Code],0))</f>
        <v>No</v>
      </c>
      <c r="B106" s="3" t="s">
        <v>246</v>
      </c>
      <c r="C106" t="s">
        <v>247</v>
      </c>
      <c r="D106" s="2">
        <v>0</v>
      </c>
      <c r="E106" s="2">
        <v>0</v>
      </c>
      <c r="F106" s="2">
        <v>0</v>
      </c>
      <c r="G106" s="2">
        <v>0</v>
      </c>
      <c r="H106" s="2">
        <v>0</v>
      </c>
      <c r="I106" s="2">
        <v>0</v>
      </c>
      <c r="J106" s="2">
        <v>0</v>
      </c>
      <c r="K106" s="2">
        <v>0</v>
      </c>
      <c r="L106" s="2">
        <v>0</v>
      </c>
      <c r="M106" s="2">
        <v>0</v>
      </c>
      <c r="N106" s="2">
        <v>0</v>
      </c>
      <c r="O106" s="2">
        <v>0</v>
      </c>
      <c r="P106" s="2">
        <v>0</v>
      </c>
      <c r="Q106" s="2">
        <v>0</v>
      </c>
      <c r="R106" s="2">
        <f>SUM(UnitsTable[[#This Row],[Psychiatrist/ Contracted Psychiatrist]:[Other Qualified Providers - Other Designated MH staff that bill medical]])</f>
        <v>0</v>
      </c>
    </row>
    <row r="107" spans="1:18" hidden="1" x14ac:dyDescent="0.25">
      <c r="A107" s="3" t="str">
        <f>INDEX(CodeMinutesTable[Frequently Used],MATCH(UnitsTable[[#This Row],[Billing Code]],CodeMinutesTable[Code],0))</f>
        <v>No</v>
      </c>
      <c r="B107" s="3" t="s">
        <v>248</v>
      </c>
      <c r="C107" t="s">
        <v>249</v>
      </c>
      <c r="D107" s="2">
        <v>0</v>
      </c>
      <c r="E107" s="2">
        <v>0</v>
      </c>
      <c r="F107" s="2">
        <v>0</v>
      </c>
      <c r="G107" s="2">
        <v>0</v>
      </c>
      <c r="H107" s="2">
        <v>0</v>
      </c>
      <c r="I107" s="2">
        <v>0</v>
      </c>
      <c r="J107" s="2">
        <v>0</v>
      </c>
      <c r="K107" s="2">
        <v>0</v>
      </c>
      <c r="L107" s="2">
        <v>0</v>
      </c>
      <c r="M107" s="2">
        <v>0</v>
      </c>
      <c r="N107" s="2">
        <v>0</v>
      </c>
      <c r="O107" s="2">
        <v>0</v>
      </c>
      <c r="P107" s="2">
        <v>0</v>
      </c>
      <c r="Q107" s="2">
        <v>0</v>
      </c>
      <c r="R107" s="2">
        <f>SUM(UnitsTable[[#This Row],[Psychiatrist/ Contracted Psychiatrist]:[Other Qualified Providers - Other Designated MH staff that bill medical]])</f>
        <v>0</v>
      </c>
    </row>
    <row r="108" spans="1:18" hidden="1" x14ac:dyDescent="0.25">
      <c r="A108" s="3" t="str">
        <f>INDEX(CodeMinutesTable[Frequently Used],MATCH(UnitsTable[[#This Row],[Billing Code]],CodeMinutesTable[Code],0))</f>
        <v>No</v>
      </c>
      <c r="B108" s="3" t="s">
        <v>250</v>
      </c>
      <c r="C108" t="s">
        <v>251</v>
      </c>
      <c r="D108" s="2">
        <v>0</v>
      </c>
      <c r="E108" s="2">
        <v>0</v>
      </c>
      <c r="F108" s="2">
        <v>0</v>
      </c>
      <c r="G108" s="2">
        <v>0</v>
      </c>
      <c r="H108" s="2">
        <v>0</v>
      </c>
      <c r="I108" s="2">
        <v>0</v>
      </c>
      <c r="J108" s="2">
        <v>0</v>
      </c>
      <c r="K108" s="2">
        <v>0</v>
      </c>
      <c r="L108" s="2">
        <v>0</v>
      </c>
      <c r="M108" s="2">
        <v>0</v>
      </c>
      <c r="N108" s="2">
        <v>0</v>
      </c>
      <c r="O108" s="2">
        <v>0</v>
      </c>
      <c r="P108" s="2">
        <v>0</v>
      </c>
      <c r="Q108" s="2">
        <v>0</v>
      </c>
      <c r="R108" s="2">
        <f>SUM(UnitsTable[[#This Row],[Psychiatrist/ Contracted Psychiatrist]:[Other Qualified Providers - Other Designated MH staff that bill medical]])</f>
        <v>0</v>
      </c>
    </row>
    <row r="109" spans="1:18" hidden="1" x14ac:dyDescent="0.25">
      <c r="A109" s="3" t="str">
        <f>INDEX(CodeMinutesTable[Frequently Used],MATCH(UnitsTable[[#This Row],[Billing Code]],CodeMinutesTable[Code],0))</f>
        <v>No</v>
      </c>
      <c r="B109" s="3" t="s">
        <v>252</v>
      </c>
      <c r="C109" t="s">
        <v>253</v>
      </c>
      <c r="D109" s="2">
        <v>0</v>
      </c>
      <c r="E109" s="2">
        <v>0</v>
      </c>
      <c r="F109" s="2">
        <v>0</v>
      </c>
      <c r="G109" s="2">
        <v>0</v>
      </c>
      <c r="H109" s="2">
        <v>0</v>
      </c>
      <c r="I109" s="2">
        <v>0</v>
      </c>
      <c r="J109" s="2">
        <v>0</v>
      </c>
      <c r="K109" s="2">
        <v>0</v>
      </c>
      <c r="L109" s="2">
        <v>0</v>
      </c>
      <c r="M109" s="2">
        <v>0</v>
      </c>
      <c r="N109" s="2">
        <v>0</v>
      </c>
      <c r="O109" s="2">
        <v>0</v>
      </c>
      <c r="P109" s="2">
        <v>0</v>
      </c>
      <c r="Q109" s="2">
        <v>0</v>
      </c>
      <c r="R109" s="2">
        <f>SUM(UnitsTable[[#This Row],[Psychiatrist/ Contracted Psychiatrist]:[Other Qualified Providers - Other Designated MH staff that bill medical]])</f>
        <v>0</v>
      </c>
    </row>
    <row r="110" spans="1:18" hidden="1" x14ac:dyDescent="0.25">
      <c r="A110" s="3" t="str">
        <f>INDEX(CodeMinutesTable[Frequently Used],MATCH(UnitsTable[[#This Row],[Billing Code]],CodeMinutesTable[Code],0))</f>
        <v>No</v>
      </c>
      <c r="B110" s="3" t="s">
        <v>254</v>
      </c>
      <c r="C110" t="s">
        <v>255</v>
      </c>
      <c r="D110" s="2">
        <v>0</v>
      </c>
      <c r="E110" s="2">
        <v>0</v>
      </c>
      <c r="F110" s="2">
        <v>0</v>
      </c>
      <c r="G110" s="2">
        <v>0</v>
      </c>
      <c r="H110" s="2">
        <v>0</v>
      </c>
      <c r="I110" s="2">
        <v>0</v>
      </c>
      <c r="J110" s="2">
        <v>0</v>
      </c>
      <c r="K110" s="2">
        <v>0</v>
      </c>
      <c r="L110" s="2">
        <v>0</v>
      </c>
      <c r="M110" s="2">
        <v>0</v>
      </c>
      <c r="N110" s="2">
        <v>0</v>
      </c>
      <c r="O110" s="2">
        <v>0</v>
      </c>
      <c r="P110" s="2">
        <v>0</v>
      </c>
      <c r="Q110" s="2">
        <v>0</v>
      </c>
      <c r="R110" s="2">
        <f>SUM(UnitsTable[[#This Row],[Psychiatrist/ Contracted Psychiatrist]:[Other Qualified Providers - Other Designated MH staff that bill medical]])</f>
        <v>0</v>
      </c>
    </row>
    <row r="111" spans="1:18" hidden="1" x14ac:dyDescent="0.25">
      <c r="A111" s="3" t="str">
        <f>INDEX(CodeMinutesTable[Frequently Used],MATCH(UnitsTable[[#This Row],[Billing Code]],CodeMinutesTable[Code],0))</f>
        <v>No</v>
      </c>
      <c r="B111" s="3" t="s">
        <v>256</v>
      </c>
      <c r="C111" t="s">
        <v>257</v>
      </c>
      <c r="D111" s="2">
        <v>0</v>
      </c>
      <c r="E111" s="2">
        <v>0</v>
      </c>
      <c r="F111" s="2">
        <v>0</v>
      </c>
      <c r="G111" s="2">
        <v>0</v>
      </c>
      <c r="H111" s="2">
        <v>0</v>
      </c>
      <c r="I111" s="2">
        <v>0</v>
      </c>
      <c r="J111" s="2">
        <v>0</v>
      </c>
      <c r="K111" s="2">
        <v>0</v>
      </c>
      <c r="L111" s="2">
        <v>0</v>
      </c>
      <c r="M111" s="2">
        <v>0</v>
      </c>
      <c r="N111" s="2">
        <v>0</v>
      </c>
      <c r="O111" s="2">
        <v>0</v>
      </c>
      <c r="P111" s="2">
        <v>0</v>
      </c>
      <c r="Q111" s="2">
        <v>0</v>
      </c>
      <c r="R111" s="2">
        <f>SUM(UnitsTable[[#This Row],[Psychiatrist/ Contracted Psychiatrist]:[Other Qualified Providers - Other Designated MH staff that bill medical]])</f>
        <v>0</v>
      </c>
    </row>
    <row r="112" spans="1:18" hidden="1" x14ac:dyDescent="0.25">
      <c r="A112" s="3" t="str">
        <f>INDEX(CodeMinutesTable[Frequently Used],MATCH(UnitsTable[[#This Row],[Billing Code]],CodeMinutesTable[Code],0))</f>
        <v>No</v>
      </c>
      <c r="B112" s="3" t="s">
        <v>258</v>
      </c>
      <c r="C112" t="s">
        <v>259</v>
      </c>
      <c r="D112" s="2">
        <v>0</v>
      </c>
      <c r="E112" s="2">
        <v>0</v>
      </c>
      <c r="F112" s="2">
        <v>0</v>
      </c>
      <c r="G112" s="2">
        <v>0</v>
      </c>
      <c r="H112" s="2">
        <v>0</v>
      </c>
      <c r="I112" s="2">
        <v>0</v>
      </c>
      <c r="J112" s="2">
        <v>0</v>
      </c>
      <c r="K112" s="2">
        <v>0</v>
      </c>
      <c r="L112" s="2">
        <v>0</v>
      </c>
      <c r="M112" s="2">
        <v>0</v>
      </c>
      <c r="N112" s="2">
        <v>0</v>
      </c>
      <c r="O112" s="2">
        <v>0</v>
      </c>
      <c r="P112" s="2">
        <v>0</v>
      </c>
      <c r="Q112" s="2">
        <v>0</v>
      </c>
      <c r="R112" s="2">
        <f>SUM(UnitsTable[[#This Row],[Psychiatrist/ Contracted Psychiatrist]:[Other Qualified Providers - Other Designated MH staff that bill medical]])</f>
        <v>0</v>
      </c>
    </row>
    <row r="113" spans="1:18" hidden="1" x14ac:dyDescent="0.25">
      <c r="A113" s="3" t="str">
        <f>INDEX(CodeMinutesTable[Frequently Used],MATCH(UnitsTable[[#This Row],[Billing Code]],CodeMinutesTable[Code],0))</f>
        <v>No</v>
      </c>
      <c r="B113" s="3" t="s">
        <v>260</v>
      </c>
      <c r="C113" t="s">
        <v>261</v>
      </c>
      <c r="D113" s="2">
        <v>0</v>
      </c>
      <c r="E113" s="2">
        <v>0</v>
      </c>
      <c r="F113" s="2">
        <v>0</v>
      </c>
      <c r="G113" s="2">
        <v>0</v>
      </c>
      <c r="H113" s="2">
        <v>0</v>
      </c>
      <c r="I113" s="2">
        <v>0</v>
      </c>
      <c r="J113" s="2">
        <v>0</v>
      </c>
      <c r="K113" s="2">
        <v>0</v>
      </c>
      <c r="L113" s="2">
        <v>0</v>
      </c>
      <c r="M113" s="2">
        <v>0</v>
      </c>
      <c r="N113" s="2">
        <v>0</v>
      </c>
      <c r="O113" s="2">
        <v>0</v>
      </c>
      <c r="P113" s="2">
        <v>0</v>
      </c>
      <c r="Q113" s="2">
        <v>0</v>
      </c>
      <c r="R113" s="2">
        <f>SUM(UnitsTable[[#This Row],[Psychiatrist/ Contracted Psychiatrist]:[Other Qualified Providers - Other Designated MH staff that bill medical]])</f>
        <v>0</v>
      </c>
    </row>
    <row r="114" spans="1:18" hidden="1" x14ac:dyDescent="0.25">
      <c r="A114" s="3" t="str">
        <f>INDEX(CodeMinutesTable[Frequently Used],MATCH(UnitsTable[[#This Row],[Billing Code]],CodeMinutesTable[Code],0))</f>
        <v>No</v>
      </c>
      <c r="B114" s="3" t="s">
        <v>262</v>
      </c>
      <c r="C114" t="s">
        <v>263</v>
      </c>
      <c r="D114" s="2">
        <v>0</v>
      </c>
      <c r="E114" s="2">
        <v>0</v>
      </c>
      <c r="F114" s="2">
        <v>0</v>
      </c>
      <c r="G114" s="2">
        <v>0</v>
      </c>
      <c r="H114" s="2">
        <v>0</v>
      </c>
      <c r="I114" s="2">
        <v>0</v>
      </c>
      <c r="J114" s="2">
        <v>0</v>
      </c>
      <c r="K114" s="2">
        <v>0</v>
      </c>
      <c r="L114" s="2">
        <v>0</v>
      </c>
      <c r="M114" s="2">
        <v>0</v>
      </c>
      <c r="N114" s="2">
        <v>0</v>
      </c>
      <c r="O114" s="2">
        <v>0</v>
      </c>
      <c r="P114" s="2">
        <v>0</v>
      </c>
      <c r="Q114" s="2">
        <v>0</v>
      </c>
      <c r="R114" s="2">
        <f>SUM(UnitsTable[[#This Row],[Psychiatrist/ Contracted Psychiatrist]:[Other Qualified Providers - Other Designated MH staff that bill medical]])</f>
        <v>0</v>
      </c>
    </row>
    <row r="115" spans="1:18" hidden="1" x14ac:dyDescent="0.25">
      <c r="A115" s="3" t="str">
        <f>INDEX(CodeMinutesTable[Frequently Used],MATCH(UnitsTable[[#This Row],[Billing Code]],CodeMinutesTable[Code],0))</f>
        <v>No</v>
      </c>
      <c r="B115" s="3" t="s">
        <v>264</v>
      </c>
      <c r="C115" t="s">
        <v>265</v>
      </c>
      <c r="D115" s="2">
        <v>0</v>
      </c>
      <c r="E115" s="2">
        <v>0</v>
      </c>
      <c r="F115" s="2">
        <v>0</v>
      </c>
      <c r="G115" s="2">
        <v>0</v>
      </c>
      <c r="H115" s="2">
        <v>0</v>
      </c>
      <c r="I115" s="2">
        <v>0</v>
      </c>
      <c r="J115" s="2">
        <v>0</v>
      </c>
      <c r="K115" s="2">
        <v>0</v>
      </c>
      <c r="L115" s="2">
        <v>0</v>
      </c>
      <c r="M115" s="2">
        <v>0</v>
      </c>
      <c r="N115" s="2">
        <v>0</v>
      </c>
      <c r="O115" s="2">
        <v>0</v>
      </c>
      <c r="P115" s="2">
        <v>0</v>
      </c>
      <c r="Q115" s="2">
        <v>0</v>
      </c>
      <c r="R115" s="2">
        <f>SUM(UnitsTable[[#This Row],[Psychiatrist/ Contracted Psychiatrist]:[Other Qualified Providers - Other Designated MH staff that bill medical]])</f>
        <v>0</v>
      </c>
    </row>
    <row r="116" spans="1:18" hidden="1" x14ac:dyDescent="0.25">
      <c r="A116" s="3" t="str">
        <f>INDEX(CodeMinutesTable[Frequently Used],MATCH(UnitsTable[[#This Row],[Billing Code]],CodeMinutesTable[Code],0))</f>
        <v>No</v>
      </c>
      <c r="B116" s="3" t="s">
        <v>266</v>
      </c>
      <c r="C116" t="s">
        <v>267</v>
      </c>
      <c r="D116" s="2">
        <v>0</v>
      </c>
      <c r="E116" s="2">
        <v>0</v>
      </c>
      <c r="F116" s="2">
        <v>0</v>
      </c>
      <c r="G116" s="2">
        <v>0</v>
      </c>
      <c r="H116" s="2">
        <v>0</v>
      </c>
      <c r="I116" s="2">
        <v>0</v>
      </c>
      <c r="J116" s="2">
        <v>0</v>
      </c>
      <c r="K116" s="2">
        <v>0</v>
      </c>
      <c r="L116" s="2">
        <v>0</v>
      </c>
      <c r="M116" s="2">
        <v>0</v>
      </c>
      <c r="N116" s="2">
        <v>0</v>
      </c>
      <c r="O116" s="2">
        <v>0</v>
      </c>
      <c r="P116" s="2">
        <v>0</v>
      </c>
      <c r="Q116" s="2">
        <v>0</v>
      </c>
      <c r="R116" s="2">
        <f>SUM(UnitsTable[[#This Row],[Psychiatrist/ Contracted Psychiatrist]:[Other Qualified Providers - Other Designated MH staff that bill medical]])</f>
        <v>0</v>
      </c>
    </row>
    <row r="117" spans="1:18" hidden="1" x14ac:dyDescent="0.25">
      <c r="A117" s="3" t="str">
        <f>INDEX(CodeMinutesTable[Frequently Used],MATCH(UnitsTable[[#This Row],[Billing Code]],CodeMinutesTable[Code],0))</f>
        <v>No</v>
      </c>
      <c r="B117" s="3" t="s">
        <v>268</v>
      </c>
      <c r="C117" t="s">
        <v>269</v>
      </c>
      <c r="D117" s="2">
        <v>0</v>
      </c>
      <c r="E117" s="2">
        <v>0</v>
      </c>
      <c r="F117" s="2">
        <v>0</v>
      </c>
      <c r="G117" s="2">
        <v>0</v>
      </c>
      <c r="H117" s="2">
        <v>0</v>
      </c>
      <c r="I117" s="2">
        <v>0</v>
      </c>
      <c r="J117" s="2">
        <v>0</v>
      </c>
      <c r="K117" s="2">
        <v>0</v>
      </c>
      <c r="L117" s="2">
        <v>0</v>
      </c>
      <c r="M117" s="2">
        <v>0</v>
      </c>
      <c r="N117" s="2">
        <v>0</v>
      </c>
      <c r="O117" s="2">
        <v>0</v>
      </c>
      <c r="P117" s="2">
        <v>0</v>
      </c>
      <c r="Q117" s="2">
        <v>0</v>
      </c>
      <c r="R117" s="2">
        <f>SUM(UnitsTable[[#This Row],[Psychiatrist/ Contracted Psychiatrist]:[Other Qualified Providers - Other Designated MH staff that bill medical]])</f>
        <v>0</v>
      </c>
    </row>
    <row r="118" spans="1:18" x14ac:dyDescent="0.25">
      <c r="A118" s="3" t="str">
        <f>INDEX(CodeMinutesTable[Frequently Used],MATCH(UnitsTable[[#This Row],[Billing Code]],CodeMinutesTable[Code],0))</f>
        <v>Yes</v>
      </c>
      <c r="B118" s="3" t="s">
        <v>270</v>
      </c>
      <c r="C118" t="s">
        <v>271</v>
      </c>
      <c r="D118" s="2">
        <v>0</v>
      </c>
      <c r="E118" s="2">
        <v>0</v>
      </c>
      <c r="F118" s="2">
        <v>0</v>
      </c>
      <c r="G118" s="2">
        <v>0</v>
      </c>
      <c r="H118" s="2">
        <v>0</v>
      </c>
      <c r="I118" s="2">
        <v>0</v>
      </c>
      <c r="J118" s="2">
        <v>0</v>
      </c>
      <c r="K118" s="2">
        <v>0</v>
      </c>
      <c r="L118" s="2">
        <v>0</v>
      </c>
      <c r="M118" s="2">
        <v>0</v>
      </c>
      <c r="N118" s="2">
        <v>0</v>
      </c>
      <c r="O118" s="2">
        <v>0</v>
      </c>
      <c r="P118" s="2">
        <v>0</v>
      </c>
      <c r="Q118" s="2">
        <v>0</v>
      </c>
      <c r="R118" s="2">
        <f>SUM(UnitsTable[[#This Row],[Psychiatrist/ Contracted Psychiatrist]:[Other Qualified Providers - Other Designated MH staff that bill medical]])</f>
        <v>0</v>
      </c>
    </row>
    <row r="119" spans="1:18" x14ac:dyDescent="0.25">
      <c r="A119" s="3" t="str">
        <f>INDEX(CodeMinutesTable[Frequently Used],MATCH(UnitsTable[[#This Row],[Billing Code]],CodeMinutesTable[Code],0))</f>
        <v>Yes</v>
      </c>
      <c r="B119" s="3" t="s">
        <v>272</v>
      </c>
      <c r="C119" t="s">
        <v>273</v>
      </c>
      <c r="D119" s="2">
        <v>0</v>
      </c>
      <c r="E119" s="2">
        <v>0</v>
      </c>
      <c r="F119" s="2">
        <v>0</v>
      </c>
      <c r="G119" s="2">
        <v>0</v>
      </c>
      <c r="H119" s="2">
        <v>0</v>
      </c>
      <c r="I119" s="2">
        <v>0</v>
      </c>
      <c r="J119" s="2">
        <v>0</v>
      </c>
      <c r="K119" s="2">
        <v>0</v>
      </c>
      <c r="L119" s="2">
        <v>0</v>
      </c>
      <c r="M119" s="2">
        <v>0</v>
      </c>
      <c r="N119" s="2">
        <v>0</v>
      </c>
      <c r="O119" s="2">
        <v>0</v>
      </c>
      <c r="P119" s="2">
        <v>0</v>
      </c>
      <c r="Q119" s="2">
        <v>0</v>
      </c>
      <c r="R119" s="2">
        <f>SUM(UnitsTable[[#This Row],[Psychiatrist/ Contracted Psychiatrist]:[Other Qualified Providers - Other Designated MH staff that bill medical]])</f>
        <v>0</v>
      </c>
    </row>
    <row r="120" spans="1:18" x14ac:dyDescent="0.25">
      <c r="A120" s="3" t="str">
        <f>INDEX(CodeMinutesTable[Frequently Used],MATCH(UnitsTable[[#This Row],[Billing Code]],CodeMinutesTable[Code],0))</f>
        <v>Yes</v>
      </c>
      <c r="B120" s="3" t="s">
        <v>274</v>
      </c>
      <c r="C120" t="s">
        <v>275</v>
      </c>
      <c r="D120" s="2">
        <v>0</v>
      </c>
      <c r="E120" s="2">
        <v>0</v>
      </c>
      <c r="F120" s="2">
        <v>0</v>
      </c>
      <c r="G120" s="2">
        <v>0</v>
      </c>
      <c r="H120" s="2">
        <v>0</v>
      </c>
      <c r="I120" s="2">
        <v>0</v>
      </c>
      <c r="J120" s="2">
        <v>0</v>
      </c>
      <c r="K120" s="2">
        <v>0</v>
      </c>
      <c r="L120" s="2">
        <v>0</v>
      </c>
      <c r="M120" s="2">
        <v>0</v>
      </c>
      <c r="N120" s="2">
        <v>0</v>
      </c>
      <c r="O120" s="2">
        <v>0</v>
      </c>
      <c r="P120" s="2">
        <v>0</v>
      </c>
      <c r="Q120" s="2">
        <v>0</v>
      </c>
      <c r="R120" s="2">
        <f>SUM(UnitsTable[[#This Row],[Psychiatrist/ Contracted Psychiatrist]:[Other Qualified Providers - Other Designated MH staff that bill medical]])</f>
        <v>0</v>
      </c>
    </row>
    <row r="121" spans="1:18" hidden="1" x14ac:dyDescent="0.25">
      <c r="A121" s="3" t="str">
        <f>INDEX(CodeMinutesTable[Frequently Used],MATCH(UnitsTable[[#This Row],[Billing Code]],CodeMinutesTable[Code],0))</f>
        <v>No</v>
      </c>
      <c r="B121" s="3" t="s">
        <v>276</v>
      </c>
      <c r="C121" t="s">
        <v>277</v>
      </c>
      <c r="D121" s="2">
        <v>0</v>
      </c>
      <c r="E121" s="2">
        <v>0</v>
      </c>
      <c r="F121" s="2">
        <v>0</v>
      </c>
      <c r="G121" s="2">
        <v>0</v>
      </c>
      <c r="H121" s="2">
        <v>0</v>
      </c>
      <c r="I121" s="2">
        <v>0</v>
      </c>
      <c r="J121" s="2">
        <v>0</v>
      </c>
      <c r="K121" s="2">
        <v>0</v>
      </c>
      <c r="L121" s="2">
        <v>0</v>
      </c>
      <c r="M121" s="2">
        <v>0</v>
      </c>
      <c r="N121" s="2">
        <v>0</v>
      </c>
      <c r="O121" s="2">
        <v>0</v>
      </c>
      <c r="P121" s="2">
        <v>0</v>
      </c>
      <c r="Q121" s="2">
        <v>0</v>
      </c>
      <c r="R121" s="2">
        <f>SUM(UnitsTable[[#This Row],[Psychiatrist/ Contracted Psychiatrist]:[Other Qualified Providers - Other Designated MH staff that bill medical]])</f>
        <v>0</v>
      </c>
    </row>
    <row r="122" spans="1:18" hidden="1" x14ac:dyDescent="0.25">
      <c r="A122" s="3" t="str">
        <f>INDEX(CodeMinutesTable[Frequently Used],MATCH(UnitsTable[[#This Row],[Billing Code]],CodeMinutesTable[Code],0))</f>
        <v>No</v>
      </c>
      <c r="B122" s="3" t="s">
        <v>278</v>
      </c>
      <c r="C122" t="s">
        <v>279</v>
      </c>
      <c r="D122" s="2">
        <v>0</v>
      </c>
      <c r="E122" s="2">
        <v>0</v>
      </c>
      <c r="F122" s="2">
        <v>0</v>
      </c>
      <c r="G122" s="2">
        <v>0</v>
      </c>
      <c r="H122" s="2">
        <v>0</v>
      </c>
      <c r="I122" s="2">
        <v>0</v>
      </c>
      <c r="J122" s="2">
        <v>0</v>
      </c>
      <c r="K122" s="2">
        <v>0</v>
      </c>
      <c r="L122" s="2">
        <v>0</v>
      </c>
      <c r="M122" s="2">
        <v>0</v>
      </c>
      <c r="N122" s="2">
        <v>0</v>
      </c>
      <c r="O122" s="2">
        <v>0</v>
      </c>
      <c r="P122" s="2">
        <v>0</v>
      </c>
      <c r="Q122" s="2">
        <v>0</v>
      </c>
      <c r="R122" s="2">
        <f>SUM(UnitsTable[[#This Row],[Psychiatrist/ Contracted Psychiatrist]:[Other Qualified Providers - Other Designated MH staff that bill medical]])</f>
        <v>0</v>
      </c>
    </row>
    <row r="123" spans="1:18" hidden="1" x14ac:dyDescent="0.25">
      <c r="A123" s="3" t="str">
        <f>INDEX(CodeMinutesTable[Frequently Used],MATCH(UnitsTable[[#This Row],[Billing Code]],CodeMinutesTable[Code],0))</f>
        <v>No</v>
      </c>
      <c r="B123" s="3" t="s">
        <v>280</v>
      </c>
      <c r="C123" t="s">
        <v>281</v>
      </c>
      <c r="D123" s="2">
        <v>0</v>
      </c>
      <c r="E123" s="2">
        <v>0</v>
      </c>
      <c r="F123" s="2">
        <v>0</v>
      </c>
      <c r="G123" s="2">
        <v>0</v>
      </c>
      <c r="H123" s="2">
        <v>0</v>
      </c>
      <c r="I123" s="2">
        <v>0</v>
      </c>
      <c r="J123" s="2">
        <v>0</v>
      </c>
      <c r="K123" s="2">
        <v>0</v>
      </c>
      <c r="L123" s="2">
        <v>0</v>
      </c>
      <c r="M123" s="2">
        <v>0</v>
      </c>
      <c r="N123" s="2">
        <v>0</v>
      </c>
      <c r="O123" s="2">
        <v>0</v>
      </c>
      <c r="P123" s="2">
        <v>0</v>
      </c>
      <c r="Q123" s="2">
        <v>0</v>
      </c>
      <c r="R123" s="2">
        <f>SUM(UnitsTable[[#This Row],[Psychiatrist/ Contracted Psychiatrist]:[Other Qualified Providers - Other Designated MH staff that bill medical]])</f>
        <v>0</v>
      </c>
    </row>
    <row r="124" spans="1:18" hidden="1" x14ac:dyDescent="0.25">
      <c r="A124" s="3" t="str">
        <f>INDEX(CodeMinutesTable[Frequently Used],MATCH(UnitsTable[[#This Row],[Billing Code]],CodeMinutesTable[Code],0))</f>
        <v>No</v>
      </c>
      <c r="B124" s="3" t="s">
        <v>282</v>
      </c>
      <c r="C124" t="s">
        <v>283</v>
      </c>
      <c r="D124" s="2">
        <v>0</v>
      </c>
      <c r="E124" s="2">
        <v>0</v>
      </c>
      <c r="F124" s="2">
        <v>0</v>
      </c>
      <c r="G124" s="2">
        <v>0</v>
      </c>
      <c r="H124" s="2">
        <v>0</v>
      </c>
      <c r="I124" s="2">
        <v>0</v>
      </c>
      <c r="J124" s="2">
        <v>0</v>
      </c>
      <c r="K124" s="2">
        <v>0</v>
      </c>
      <c r="L124" s="2">
        <v>0</v>
      </c>
      <c r="M124" s="2">
        <v>0</v>
      </c>
      <c r="N124" s="2">
        <v>0</v>
      </c>
      <c r="O124" s="2">
        <v>0</v>
      </c>
      <c r="P124" s="2">
        <v>0</v>
      </c>
      <c r="Q124" s="2">
        <v>0</v>
      </c>
      <c r="R124" s="2">
        <f>SUM(UnitsTable[[#This Row],[Psychiatrist/ Contracted Psychiatrist]:[Other Qualified Providers - Other Designated MH staff that bill medical]])</f>
        <v>0</v>
      </c>
    </row>
    <row r="125" spans="1:18" hidden="1" x14ac:dyDescent="0.25">
      <c r="A125" s="3" t="str">
        <f>INDEX(CodeMinutesTable[Frequently Used],MATCH(UnitsTable[[#This Row],[Billing Code]],CodeMinutesTable[Code],0))</f>
        <v>No</v>
      </c>
      <c r="B125" s="3" t="s">
        <v>284</v>
      </c>
      <c r="C125" t="s">
        <v>285</v>
      </c>
      <c r="D125" s="2">
        <v>0</v>
      </c>
      <c r="E125" s="2">
        <v>0</v>
      </c>
      <c r="F125" s="2">
        <v>0</v>
      </c>
      <c r="G125" s="2">
        <v>0</v>
      </c>
      <c r="H125" s="2">
        <v>0</v>
      </c>
      <c r="I125" s="2">
        <v>0</v>
      </c>
      <c r="J125" s="2">
        <v>0</v>
      </c>
      <c r="K125" s="2">
        <v>0</v>
      </c>
      <c r="L125" s="2">
        <v>0</v>
      </c>
      <c r="M125" s="2">
        <v>0</v>
      </c>
      <c r="N125" s="2">
        <v>0</v>
      </c>
      <c r="O125" s="2">
        <v>0</v>
      </c>
      <c r="P125" s="2">
        <v>0</v>
      </c>
      <c r="Q125" s="2">
        <v>0</v>
      </c>
      <c r="R125" s="2">
        <f>SUM(UnitsTable[[#This Row],[Psychiatrist/ Contracted Psychiatrist]:[Other Qualified Providers - Other Designated MH staff that bill medical]])</f>
        <v>0</v>
      </c>
    </row>
    <row r="126" spans="1:18" hidden="1" x14ac:dyDescent="0.25">
      <c r="A126" s="3" t="str">
        <f>INDEX(CodeMinutesTable[Frequently Used],MATCH(UnitsTable[[#This Row],[Billing Code]],CodeMinutesTable[Code],0))</f>
        <v>No</v>
      </c>
      <c r="B126" s="3" t="s">
        <v>286</v>
      </c>
      <c r="C126" t="s">
        <v>287</v>
      </c>
      <c r="D126" s="2">
        <v>0</v>
      </c>
      <c r="E126" s="2">
        <v>0</v>
      </c>
      <c r="F126" s="2">
        <v>0</v>
      </c>
      <c r="G126" s="2">
        <v>0</v>
      </c>
      <c r="H126" s="2">
        <v>0</v>
      </c>
      <c r="I126" s="2">
        <v>0</v>
      </c>
      <c r="J126" s="2">
        <v>0</v>
      </c>
      <c r="K126" s="2">
        <v>0</v>
      </c>
      <c r="L126" s="2">
        <v>0</v>
      </c>
      <c r="M126" s="2">
        <v>0</v>
      </c>
      <c r="N126" s="2">
        <v>0</v>
      </c>
      <c r="O126" s="2">
        <v>0</v>
      </c>
      <c r="P126" s="2">
        <v>0</v>
      </c>
      <c r="Q126" s="2">
        <v>0</v>
      </c>
      <c r="R126" s="2">
        <f>SUM(UnitsTable[[#This Row],[Psychiatrist/ Contracted Psychiatrist]:[Other Qualified Providers - Other Designated MH staff that bill medical]])</f>
        <v>0</v>
      </c>
    </row>
    <row r="127" spans="1:18" hidden="1" x14ac:dyDescent="0.25">
      <c r="A127" s="3" t="str">
        <f>INDEX(CodeMinutesTable[Frequently Used],MATCH(UnitsTable[[#This Row],[Billing Code]],CodeMinutesTable[Code],0))</f>
        <v>No</v>
      </c>
      <c r="B127" s="3" t="s">
        <v>288</v>
      </c>
      <c r="C127" t="s">
        <v>289</v>
      </c>
      <c r="D127" s="2">
        <v>0</v>
      </c>
      <c r="E127" s="2">
        <v>0</v>
      </c>
      <c r="F127" s="2">
        <v>0</v>
      </c>
      <c r="G127" s="2">
        <v>0</v>
      </c>
      <c r="H127" s="2">
        <v>0</v>
      </c>
      <c r="I127" s="2">
        <v>0</v>
      </c>
      <c r="J127" s="2">
        <v>0</v>
      </c>
      <c r="K127" s="2">
        <v>0</v>
      </c>
      <c r="L127" s="2">
        <v>0</v>
      </c>
      <c r="M127" s="2">
        <v>0</v>
      </c>
      <c r="N127" s="2">
        <v>0</v>
      </c>
      <c r="O127" s="2">
        <v>0</v>
      </c>
      <c r="P127" s="2">
        <v>0</v>
      </c>
      <c r="Q127" s="2">
        <v>0</v>
      </c>
      <c r="R127" s="2">
        <f>SUM(UnitsTable[[#This Row],[Psychiatrist/ Contracted Psychiatrist]:[Other Qualified Providers - Other Designated MH staff that bill medical]])</f>
        <v>0</v>
      </c>
    </row>
    <row r="128" spans="1:18" x14ac:dyDescent="0.25">
      <c r="A128" s="3" t="str">
        <f>INDEX(CodeMinutesTable[Frequently Used],MATCH(UnitsTable[[#This Row],[Billing Code]],CodeMinutesTable[Code],0))</f>
        <v>Yes</v>
      </c>
      <c r="B128" s="3" t="s">
        <v>290</v>
      </c>
      <c r="C128" t="s">
        <v>291</v>
      </c>
      <c r="D128" s="2">
        <v>0</v>
      </c>
      <c r="E128" s="2">
        <v>0</v>
      </c>
      <c r="F128" s="2">
        <v>0</v>
      </c>
      <c r="G128" s="2">
        <v>0</v>
      </c>
      <c r="H128" s="2">
        <v>0</v>
      </c>
      <c r="I128" s="2">
        <v>0</v>
      </c>
      <c r="J128" s="2">
        <v>0</v>
      </c>
      <c r="K128" s="2">
        <v>0</v>
      </c>
      <c r="L128" s="2">
        <v>0</v>
      </c>
      <c r="M128" s="2">
        <v>0</v>
      </c>
      <c r="N128" s="2">
        <v>0</v>
      </c>
      <c r="O128" s="2">
        <v>0</v>
      </c>
      <c r="P128" s="2">
        <v>0</v>
      </c>
      <c r="Q128" s="2">
        <v>0</v>
      </c>
      <c r="R128" s="2">
        <f>SUM(UnitsTable[[#This Row],[Psychiatrist/ Contracted Psychiatrist]:[Other Qualified Providers - Other Designated MH staff that bill medical]])</f>
        <v>0</v>
      </c>
    </row>
    <row r="129" spans="1:18" x14ac:dyDescent="0.25">
      <c r="A129" s="3" t="str">
        <f>INDEX(CodeMinutesTable[Frequently Used],MATCH(UnitsTable[[#This Row],[Billing Code]],CodeMinutesTable[Code],0))</f>
        <v>Yes</v>
      </c>
      <c r="B129" s="3" t="s">
        <v>292</v>
      </c>
      <c r="C129" t="s">
        <v>293</v>
      </c>
      <c r="D129" s="2">
        <v>0</v>
      </c>
      <c r="E129" s="2">
        <v>0</v>
      </c>
      <c r="F129" s="2">
        <v>0</v>
      </c>
      <c r="G129" s="2">
        <v>0</v>
      </c>
      <c r="H129" s="2">
        <v>0</v>
      </c>
      <c r="I129" s="2">
        <v>0</v>
      </c>
      <c r="J129" s="2">
        <v>0</v>
      </c>
      <c r="K129" s="2">
        <v>0</v>
      </c>
      <c r="L129" s="2">
        <v>0</v>
      </c>
      <c r="M129" s="2">
        <v>0</v>
      </c>
      <c r="N129" s="2">
        <v>0</v>
      </c>
      <c r="O129" s="2">
        <v>0</v>
      </c>
      <c r="P129" s="2">
        <v>0</v>
      </c>
      <c r="Q129" s="2">
        <v>0</v>
      </c>
      <c r="R129" s="2">
        <f>SUM(UnitsTable[[#This Row],[Psychiatrist/ Contracted Psychiatrist]:[Other Qualified Providers - Other Designated MH staff that bill medical]])</f>
        <v>0</v>
      </c>
    </row>
    <row r="130" spans="1:18" x14ac:dyDescent="0.25">
      <c r="A130" s="3" t="str">
        <f>INDEX(CodeMinutesTable[Frequently Used],MATCH(UnitsTable[[#This Row],[Billing Code]],CodeMinutesTable[Code],0))</f>
        <v>Yes</v>
      </c>
      <c r="B130" s="3" t="s">
        <v>294</v>
      </c>
      <c r="C130" t="s">
        <v>295</v>
      </c>
      <c r="D130" s="2">
        <v>0</v>
      </c>
      <c r="E130" s="2">
        <v>0</v>
      </c>
      <c r="F130" s="2">
        <v>0</v>
      </c>
      <c r="G130" s="2">
        <v>0</v>
      </c>
      <c r="H130" s="2">
        <v>0</v>
      </c>
      <c r="I130" s="2">
        <v>0</v>
      </c>
      <c r="J130" s="2">
        <v>0</v>
      </c>
      <c r="K130" s="2">
        <v>0</v>
      </c>
      <c r="L130" s="2">
        <v>0</v>
      </c>
      <c r="M130" s="2">
        <v>0</v>
      </c>
      <c r="N130" s="2">
        <v>0</v>
      </c>
      <c r="O130" s="2">
        <v>0</v>
      </c>
      <c r="P130" s="2">
        <v>0</v>
      </c>
      <c r="Q130" s="2">
        <v>0</v>
      </c>
      <c r="R130" s="2">
        <f>SUM(UnitsTable[[#This Row],[Psychiatrist/ Contracted Psychiatrist]:[Other Qualified Providers - Other Designated MH staff that bill medical]])</f>
        <v>0</v>
      </c>
    </row>
    <row r="131" spans="1:18" x14ac:dyDescent="0.25">
      <c r="A131" s="3" t="str">
        <f>INDEX(CodeMinutesTable[Frequently Used],MATCH(UnitsTable[[#This Row],[Billing Code]],CodeMinutesTable[Code],0))</f>
        <v>Yes</v>
      </c>
      <c r="B131" s="3" t="s">
        <v>296</v>
      </c>
      <c r="C131" t="s">
        <v>297</v>
      </c>
      <c r="D131" s="2">
        <v>0</v>
      </c>
      <c r="E131" s="2">
        <v>0</v>
      </c>
      <c r="F131" s="2">
        <v>0</v>
      </c>
      <c r="G131" s="2">
        <v>0</v>
      </c>
      <c r="H131" s="2">
        <v>0</v>
      </c>
      <c r="I131" s="2">
        <v>0</v>
      </c>
      <c r="J131" s="2">
        <v>0</v>
      </c>
      <c r="K131" s="2">
        <v>0</v>
      </c>
      <c r="L131" s="2">
        <v>0</v>
      </c>
      <c r="M131" s="2">
        <v>0</v>
      </c>
      <c r="N131" s="2">
        <v>0</v>
      </c>
      <c r="O131" s="2">
        <v>0</v>
      </c>
      <c r="P131" s="2">
        <v>0</v>
      </c>
      <c r="Q131" s="2">
        <v>0</v>
      </c>
      <c r="R131" s="2">
        <f>SUM(UnitsTable[[#This Row],[Psychiatrist/ Contracted Psychiatrist]:[Other Qualified Providers - Other Designated MH staff that bill medical]])</f>
        <v>0</v>
      </c>
    </row>
    <row r="132" spans="1:18" x14ac:dyDescent="0.25">
      <c r="A132" s="3" t="str">
        <f>INDEX(CodeMinutesTable[Frequently Used],MATCH(UnitsTable[[#This Row],[Billing Code]],CodeMinutesTable[Code],0))</f>
        <v>Yes</v>
      </c>
      <c r="B132" s="3" t="s">
        <v>298</v>
      </c>
      <c r="C132" t="s">
        <v>299</v>
      </c>
      <c r="D132" s="2">
        <v>0</v>
      </c>
      <c r="E132" s="2">
        <v>0</v>
      </c>
      <c r="F132" s="2">
        <v>0</v>
      </c>
      <c r="G132" s="2">
        <v>0</v>
      </c>
      <c r="H132" s="2">
        <v>0</v>
      </c>
      <c r="I132" s="2">
        <v>0</v>
      </c>
      <c r="J132" s="2">
        <v>0</v>
      </c>
      <c r="K132" s="2">
        <v>0</v>
      </c>
      <c r="L132" s="2">
        <v>0</v>
      </c>
      <c r="M132" s="2">
        <v>0</v>
      </c>
      <c r="N132" s="2">
        <v>0</v>
      </c>
      <c r="O132" s="2">
        <v>0</v>
      </c>
      <c r="P132" s="2">
        <v>0</v>
      </c>
      <c r="Q132" s="2">
        <v>0</v>
      </c>
      <c r="R132" s="2">
        <f>SUM(UnitsTable[[#This Row],[Psychiatrist/ Contracted Psychiatrist]:[Other Qualified Providers - Other Designated MH staff that bill medical]])</f>
        <v>0</v>
      </c>
    </row>
    <row r="133" spans="1:18" hidden="1" x14ac:dyDescent="0.25">
      <c r="A133" s="3" t="str">
        <f>INDEX(CodeMinutesTable[Frequently Used],MATCH(UnitsTable[[#This Row],[Billing Code]],CodeMinutesTable[Code],0))</f>
        <v>No</v>
      </c>
      <c r="B133" s="3" t="s">
        <v>300</v>
      </c>
      <c r="C133" t="s">
        <v>301</v>
      </c>
      <c r="D133" s="2">
        <v>0</v>
      </c>
      <c r="E133" s="2">
        <v>0</v>
      </c>
      <c r="F133" s="2">
        <v>0</v>
      </c>
      <c r="G133" s="2">
        <v>0</v>
      </c>
      <c r="H133" s="2">
        <v>0</v>
      </c>
      <c r="I133" s="2">
        <v>0</v>
      </c>
      <c r="J133" s="2">
        <v>0</v>
      </c>
      <c r="K133" s="2">
        <v>0</v>
      </c>
      <c r="L133" s="2">
        <v>0</v>
      </c>
      <c r="M133" s="2">
        <v>0</v>
      </c>
      <c r="N133" s="2">
        <v>0</v>
      </c>
      <c r="O133" s="2">
        <v>0</v>
      </c>
      <c r="P133" s="2">
        <v>0</v>
      </c>
      <c r="Q133" s="2">
        <v>0</v>
      </c>
      <c r="R133" s="2">
        <f>SUM(UnitsTable[[#This Row],[Psychiatrist/ Contracted Psychiatrist]:[Other Qualified Providers - Other Designated MH staff that bill medical]])</f>
        <v>0</v>
      </c>
    </row>
    <row r="134" spans="1:18" x14ac:dyDescent="0.25">
      <c r="A134" s="3" t="str">
        <f>INDEX(CodeMinutesTable[Frequently Used],MATCH(UnitsTable[[#This Row],[Billing Code]],CodeMinutesTable[Code],0))</f>
        <v>Yes</v>
      </c>
      <c r="B134" s="3" t="s">
        <v>302</v>
      </c>
      <c r="C134" t="s">
        <v>303</v>
      </c>
      <c r="D134" s="2">
        <v>0</v>
      </c>
      <c r="E134" s="2">
        <v>0</v>
      </c>
      <c r="F134" s="2">
        <v>0</v>
      </c>
      <c r="G134" s="2">
        <v>0</v>
      </c>
      <c r="H134" s="2">
        <v>0</v>
      </c>
      <c r="I134" s="2">
        <v>0</v>
      </c>
      <c r="J134" s="2">
        <v>0</v>
      </c>
      <c r="K134" s="2">
        <v>0</v>
      </c>
      <c r="L134" s="2">
        <v>0</v>
      </c>
      <c r="M134" s="2">
        <v>0</v>
      </c>
      <c r="N134" s="2">
        <v>0</v>
      </c>
      <c r="O134" s="2">
        <v>0</v>
      </c>
      <c r="P134" s="2">
        <v>0</v>
      </c>
      <c r="Q134" s="2">
        <v>0</v>
      </c>
      <c r="R134" s="2">
        <f>SUM(UnitsTable[[#This Row],[Psychiatrist/ Contracted Psychiatrist]:[Other Qualified Providers - Other Designated MH staff that bill medical]])</f>
        <v>0</v>
      </c>
    </row>
    <row r="135" spans="1:18" x14ac:dyDescent="0.25">
      <c r="A135" s="3" t="str">
        <f>INDEX(CodeMinutesTable[Frequently Used],MATCH(UnitsTable[[#This Row],[Billing Code]],CodeMinutesTable[Code],0))</f>
        <v>Yes</v>
      </c>
      <c r="B135" s="3" t="s">
        <v>304</v>
      </c>
      <c r="C135" t="s">
        <v>305</v>
      </c>
      <c r="D135" s="2">
        <v>0</v>
      </c>
      <c r="E135" s="2">
        <v>0</v>
      </c>
      <c r="F135" s="2">
        <v>0</v>
      </c>
      <c r="G135" s="2">
        <v>0</v>
      </c>
      <c r="H135" s="2">
        <v>0</v>
      </c>
      <c r="I135" s="2">
        <v>0</v>
      </c>
      <c r="J135" s="2">
        <v>0</v>
      </c>
      <c r="K135" s="2">
        <v>0</v>
      </c>
      <c r="L135" s="2">
        <v>0</v>
      </c>
      <c r="M135" s="2">
        <v>0</v>
      </c>
      <c r="N135" s="2">
        <v>0</v>
      </c>
      <c r="O135" s="2">
        <v>0</v>
      </c>
      <c r="P135" s="2">
        <v>0</v>
      </c>
      <c r="Q135" s="2">
        <v>0</v>
      </c>
      <c r="R135" s="2">
        <f>SUM(UnitsTable[[#This Row],[Psychiatrist/ Contracted Psychiatrist]:[Other Qualified Providers - Other Designated MH staff that bill medical]])</f>
        <v>0</v>
      </c>
    </row>
    <row r="136" spans="1:18" x14ac:dyDescent="0.25">
      <c r="A136" s="3" t="str">
        <f>INDEX(CodeMinutesTable[Frequently Used],MATCH(UnitsTable[[#This Row],[Billing Code]],CodeMinutesTable[Code],0))</f>
        <v>Yes</v>
      </c>
      <c r="B136" s="3" t="s">
        <v>306</v>
      </c>
      <c r="C136" t="s">
        <v>307</v>
      </c>
      <c r="D136" s="2">
        <v>0</v>
      </c>
      <c r="E136" s="2">
        <v>0</v>
      </c>
      <c r="F136" s="2">
        <v>0</v>
      </c>
      <c r="G136" s="2">
        <v>0</v>
      </c>
      <c r="H136" s="2">
        <v>0</v>
      </c>
      <c r="I136" s="2">
        <v>0</v>
      </c>
      <c r="J136" s="2">
        <v>0</v>
      </c>
      <c r="K136" s="2">
        <v>0</v>
      </c>
      <c r="L136" s="2">
        <v>0</v>
      </c>
      <c r="M136" s="2">
        <v>0</v>
      </c>
      <c r="N136" s="2">
        <v>0</v>
      </c>
      <c r="O136" s="2">
        <v>0</v>
      </c>
      <c r="P136" s="2">
        <v>0</v>
      </c>
      <c r="Q136" s="2">
        <v>0</v>
      </c>
      <c r="R136" s="2">
        <f>SUM(UnitsTable[[#This Row],[Psychiatrist/ Contracted Psychiatrist]:[Other Qualified Providers - Other Designated MH staff that bill medical]])</f>
        <v>0</v>
      </c>
    </row>
    <row r="137" spans="1:18" hidden="1" x14ac:dyDescent="0.25">
      <c r="A137" s="3" t="str">
        <f>INDEX(CodeMinutesTable[Frequently Used],MATCH(UnitsTable[[#This Row],[Billing Code]],CodeMinutesTable[Code],0))</f>
        <v>No</v>
      </c>
      <c r="B137" s="3" t="s">
        <v>308</v>
      </c>
      <c r="C137" t="s">
        <v>309</v>
      </c>
      <c r="D137" s="2">
        <v>0</v>
      </c>
      <c r="E137" s="2">
        <v>0</v>
      </c>
      <c r="F137" s="2">
        <v>0</v>
      </c>
      <c r="G137" s="2">
        <v>0</v>
      </c>
      <c r="H137" s="2">
        <v>0</v>
      </c>
      <c r="I137" s="2">
        <v>0</v>
      </c>
      <c r="J137" s="2">
        <v>0</v>
      </c>
      <c r="K137" s="2">
        <v>0</v>
      </c>
      <c r="L137" s="2">
        <v>0</v>
      </c>
      <c r="M137" s="2">
        <v>0</v>
      </c>
      <c r="N137" s="2">
        <v>0</v>
      </c>
      <c r="O137" s="2">
        <v>0</v>
      </c>
      <c r="P137" s="2">
        <v>0</v>
      </c>
      <c r="Q137" s="2">
        <v>0</v>
      </c>
      <c r="R137" s="2">
        <f>SUM(UnitsTable[[#This Row],[Psychiatrist/ Contracted Psychiatrist]:[Other Qualified Providers - Other Designated MH staff that bill medical]])</f>
        <v>0</v>
      </c>
    </row>
    <row r="138" spans="1:18" hidden="1" x14ac:dyDescent="0.25">
      <c r="A138" s="3" t="str">
        <f>INDEX(CodeMinutesTable[Frequently Used],MATCH(UnitsTable[[#This Row],[Billing Code]],CodeMinutesTable[Code],0))</f>
        <v>No</v>
      </c>
      <c r="B138" s="3" t="s">
        <v>310</v>
      </c>
      <c r="C138" t="s">
        <v>311</v>
      </c>
      <c r="D138" s="2">
        <v>0</v>
      </c>
      <c r="E138" s="2">
        <v>0</v>
      </c>
      <c r="F138" s="2">
        <v>0</v>
      </c>
      <c r="G138" s="2">
        <v>0</v>
      </c>
      <c r="H138" s="2">
        <v>0</v>
      </c>
      <c r="I138" s="2">
        <v>0</v>
      </c>
      <c r="J138" s="2">
        <v>0</v>
      </c>
      <c r="K138" s="2">
        <v>0</v>
      </c>
      <c r="L138" s="2">
        <v>0</v>
      </c>
      <c r="M138" s="2">
        <v>0</v>
      </c>
      <c r="N138" s="2">
        <v>0</v>
      </c>
      <c r="O138" s="2">
        <v>0</v>
      </c>
      <c r="P138" s="2">
        <v>0</v>
      </c>
      <c r="Q138" s="2">
        <v>0</v>
      </c>
      <c r="R138" s="2">
        <f>SUM(UnitsTable[[#This Row],[Psychiatrist/ Contracted Psychiatrist]:[Other Qualified Providers - Other Designated MH staff that bill medical]])</f>
        <v>0</v>
      </c>
    </row>
    <row r="139" spans="1:18" hidden="1" x14ac:dyDescent="0.25">
      <c r="A139" s="3" t="str">
        <f>INDEX(CodeMinutesTable[Frequently Used],MATCH(UnitsTable[[#This Row],[Billing Code]],CodeMinutesTable[Code],0))</f>
        <v>No</v>
      </c>
      <c r="B139" s="3" t="s">
        <v>312</v>
      </c>
      <c r="C139" t="s">
        <v>313</v>
      </c>
      <c r="D139" s="2">
        <v>0</v>
      </c>
      <c r="E139" s="2">
        <v>0</v>
      </c>
      <c r="F139" s="2">
        <v>0</v>
      </c>
      <c r="G139" s="2">
        <v>0</v>
      </c>
      <c r="H139" s="2">
        <v>0</v>
      </c>
      <c r="I139" s="2">
        <v>0</v>
      </c>
      <c r="J139" s="2">
        <v>0</v>
      </c>
      <c r="K139" s="2">
        <v>0</v>
      </c>
      <c r="L139" s="2">
        <v>0</v>
      </c>
      <c r="M139" s="2">
        <v>0</v>
      </c>
      <c r="N139" s="2">
        <v>0</v>
      </c>
      <c r="O139" s="2">
        <v>0</v>
      </c>
      <c r="P139" s="2">
        <v>0</v>
      </c>
      <c r="Q139" s="2">
        <v>0</v>
      </c>
      <c r="R139" s="2">
        <f>SUM(UnitsTable[[#This Row],[Psychiatrist/ Contracted Psychiatrist]:[Other Qualified Providers - Other Designated MH staff that bill medical]])</f>
        <v>0</v>
      </c>
    </row>
    <row r="140" spans="1:18" x14ac:dyDescent="0.25">
      <c r="A140" s="3" t="str">
        <f>INDEX(CodeMinutesTable[Frequently Used],MATCH(UnitsTable[[#This Row],[Billing Code]],CodeMinutesTable[Code],0))</f>
        <v>Yes</v>
      </c>
      <c r="B140" s="3" t="s">
        <v>314</v>
      </c>
      <c r="C140" t="s">
        <v>315</v>
      </c>
      <c r="D140" s="2">
        <v>0</v>
      </c>
      <c r="E140" s="2">
        <v>0</v>
      </c>
      <c r="F140" s="2">
        <v>0</v>
      </c>
      <c r="G140" s="2">
        <v>0</v>
      </c>
      <c r="H140" s="2">
        <v>0</v>
      </c>
      <c r="I140" s="2">
        <v>0</v>
      </c>
      <c r="J140" s="2">
        <v>0</v>
      </c>
      <c r="K140" s="2">
        <v>0</v>
      </c>
      <c r="L140" s="2">
        <v>0</v>
      </c>
      <c r="M140" s="2">
        <v>0</v>
      </c>
      <c r="N140" s="2">
        <v>0</v>
      </c>
      <c r="O140" s="2">
        <v>0</v>
      </c>
      <c r="P140" s="2">
        <v>0</v>
      </c>
      <c r="Q140" s="2">
        <v>0</v>
      </c>
      <c r="R140" s="2">
        <f>SUM(UnitsTable[[#This Row],[Psychiatrist/ Contracted Psychiatrist]:[Other Qualified Providers - Other Designated MH staff that bill medical]])</f>
        <v>0</v>
      </c>
    </row>
    <row r="141" spans="1:18" x14ac:dyDescent="0.25">
      <c r="A141" s="3"/>
      <c r="B141" s="3" t="s">
        <v>38</v>
      </c>
      <c r="D141" s="2">
        <f>SUBTOTAL(109,UnitsTable[Psychiatrist/ Contracted Psychiatrist])</f>
        <v>0</v>
      </c>
      <c r="E141" s="2">
        <f>SUBTOTAL(109,UnitsTable[Physicians Assistant])</f>
        <v>0</v>
      </c>
      <c r="F141" s="2">
        <f>SUBTOTAL(109,UnitsTable[Nurse Practitioner])</f>
        <v>0</v>
      </c>
      <c r="G141" s="2">
        <f>SUBTOTAL(109,UnitsTable[RN])</f>
        <v>0</v>
      </c>
      <c r="H141" s="2">
        <f>SUBTOTAL(109,UnitsTable[Certified Nurse Specialist])</f>
        <v>0</v>
      </c>
      <c r="I141" s="2">
        <f>SUBTOTAL(109,UnitsTable[LVN])</f>
        <v>0</v>
      </c>
      <c r="J141" s="2">
        <f>SUBTOTAL(109,UnitsTable[Pharmacist])</f>
        <v>0</v>
      </c>
      <c r="K141" s="2">
        <f>SUBTOTAL(109,UnitsTable[Licensed Psychiatric Technician])</f>
        <v>0</v>
      </c>
      <c r="L141" s="2">
        <f>SUBTOTAL(109,UnitsTable[Psychologist/Pre-licensed Psychologist])</f>
        <v>0</v>
      </c>
      <c r="M141" s="2">
        <f>SUBTOTAL(109,UnitsTable[LPHA (MFT  LCSW  LPCC)/ Intern or Waivered LPHA (MFT  LCSW  LPCC)])</f>
        <v>0</v>
      </c>
      <c r="N141" s="2">
        <f>SUBTOTAL(109,UnitsTable[Occupational Therapist])</f>
        <v>0</v>
      </c>
      <c r="O141" s="2">
        <f>SUBTOTAL(109,UnitsTable[Mental Health Rehab Specialist])</f>
        <v>0</v>
      </c>
      <c r="P141" s="2">
        <f>SUBTOTAL(109,UnitsTable[Peer Recovery Specialist])</f>
        <v>0</v>
      </c>
      <c r="Q141" s="2">
        <f>SUBTOTAL(109,UnitsTable[Other Qualified Providers - Other Designated MH staff that bill medical])</f>
        <v>0</v>
      </c>
      <c r="R141" s="2">
        <f>SUBTOTAL(109,UnitsTable[Total])</f>
        <v>0</v>
      </c>
    </row>
  </sheetData>
  <pageMargins left="0.7" right="0.7" top="0.75" bottom="0.75" header="0.3" footer="0.3"/>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72BFD-5920-4F58-9C1E-F133B1FBDAC2}">
  <dimension ref="A1:R141"/>
  <sheetViews>
    <sheetView workbookViewId="0">
      <pane xSplit="3" ySplit="1" topLeftCell="D2" activePane="bottomRight" state="frozen"/>
      <selection pane="topRight" activeCell="C1" sqref="C1"/>
      <selection pane="bottomLeft" activeCell="A2" sqref="A2"/>
      <selection pane="bottomRight" sqref="A1:XFD1"/>
    </sheetView>
  </sheetViews>
  <sheetFormatPr defaultColWidth="9.140625" defaultRowHeight="15" x14ac:dyDescent="0.25"/>
  <cols>
    <col min="1" max="2" width="10.7109375" customWidth="1"/>
    <col min="3" max="3" width="60.7109375" customWidth="1"/>
    <col min="4" max="19" width="25.7109375" customWidth="1"/>
  </cols>
  <sheetData>
    <row r="1" spans="1:18" s="1" customFormat="1" ht="45" customHeight="1" x14ac:dyDescent="0.25">
      <c r="A1" s="1" t="s">
        <v>23</v>
      </c>
      <c r="B1" s="1" t="s">
        <v>24</v>
      </c>
      <c r="C1" s="1" t="s">
        <v>25</v>
      </c>
      <c r="D1" s="1" t="s">
        <v>26</v>
      </c>
      <c r="E1" s="1" t="s">
        <v>27</v>
      </c>
      <c r="F1" s="1" t="s">
        <v>28</v>
      </c>
      <c r="G1" s="1" t="s">
        <v>29</v>
      </c>
      <c r="H1" s="1" t="s">
        <v>359</v>
      </c>
      <c r="I1" s="1" t="s">
        <v>30</v>
      </c>
      <c r="J1" s="1" t="s">
        <v>31</v>
      </c>
      <c r="K1" s="1" t="s">
        <v>32</v>
      </c>
      <c r="L1" s="1" t="s">
        <v>33</v>
      </c>
      <c r="M1" s="1" t="s">
        <v>360</v>
      </c>
      <c r="N1" s="1" t="s">
        <v>34</v>
      </c>
      <c r="O1" s="1" t="s">
        <v>35</v>
      </c>
      <c r="P1" s="1" t="s">
        <v>36</v>
      </c>
      <c r="Q1" s="1" t="s">
        <v>37</v>
      </c>
      <c r="R1" s="1" t="s">
        <v>38</v>
      </c>
    </row>
    <row r="2" spans="1:18" x14ac:dyDescent="0.25">
      <c r="A2" s="6" t="str">
        <f>INDEX(CodeMinutesTable[Frequently Used],MATCH(RevenueTable[[#This Row],[Billing Code]],CodeMinutesTable[Code],0))</f>
        <v>Yes</v>
      </c>
      <c r="B2" s="3" t="s">
        <v>39</v>
      </c>
      <c r="C2" t="s">
        <v>40</v>
      </c>
      <c r="D2" s="6">
        <f>UnitsTable[[#This Row],[Psychiatrist/ Contracted Psychiatrist]]*CodeRatesTable[[#This Row],[Psychiatrist/ Contracted Psychiatrist]]</f>
        <v>0</v>
      </c>
      <c r="E2" s="6">
        <f>UnitsTable[[#This Row],[Physicians Assistant]]*CodeRatesTable[[#This Row],[Physicians Assistant]]</f>
        <v>0</v>
      </c>
      <c r="F2" s="6">
        <f>UnitsTable[[#This Row],[Nurse Practitioner]]*CodeRatesTable[[#This Row],[Nurse Practitioner]]</f>
        <v>0</v>
      </c>
      <c r="G2" s="6">
        <f>UnitsTable[[#This Row],[RN]]*CodeRatesTable[[#This Row],[RN]]</f>
        <v>0</v>
      </c>
      <c r="H2" s="6">
        <f>UnitsTable[[#This Row],[Certified Nurse Specialist]]*CodeRatesTable[[#This Row],[Certified Nurse Specialist]]</f>
        <v>0</v>
      </c>
      <c r="I2" s="6">
        <f>UnitsTable[[#This Row],[LVN]]*CodeRatesTable[[#This Row],[LVN]]</f>
        <v>0</v>
      </c>
      <c r="J2" s="6">
        <f>UnitsTable[[#This Row],[Pharmacist]]*CodeRatesTable[[#This Row],[Pharmacist]]</f>
        <v>0</v>
      </c>
      <c r="K2" s="6">
        <f>UnitsTable[[#This Row],[Licensed Psychiatric Technician]]*CodeRatesTable[[#This Row],[Licensed Psychiatric Technician]]</f>
        <v>0</v>
      </c>
      <c r="L2" s="6">
        <f>UnitsTable[[#This Row],[Psychologist/Pre-licensed Psychologist]]*CodeRatesTable[[#This Row],[Psychologist/Pre-licensed Psychologist]]</f>
        <v>0</v>
      </c>
      <c r="M2" s="6">
        <f>UnitsTable[[#This Row],[LPHA (MFT  LCSW  LPCC)/ Intern or Waivered LPHA (MFT  LCSW  LPCC)]]*CodeRatesTable[[#This Row],[LPHA (MFT  LCSW  LPCC)/ Intern or Waivered LPHA (MFT  LCSW  LPCC)]]</f>
        <v>0</v>
      </c>
      <c r="N2" s="6">
        <f>UnitsTable[[#This Row],[Occupational Therapist]]*CodeRatesTable[[#This Row],[Occupational Therapist]]</f>
        <v>0</v>
      </c>
      <c r="O2" s="6">
        <f>UnitsTable[[#This Row],[Mental Health Rehab Specialist]]*CodeRatesTable[[#This Row],[Mental Health Rehab Specialist]]</f>
        <v>0</v>
      </c>
      <c r="P2" s="6">
        <f>UnitsTable[[#This Row],[Peer Recovery Specialist]]*CodeRatesTable[[#This Row],[Peer Recovery Specialist]]</f>
        <v>0</v>
      </c>
      <c r="Q2" s="6">
        <f>UnitsTable[[#This Row],[Other Qualified Providers - Other Designated MH staff that bill medical]]*CodeRatesTable[[#This Row],[Other Qualified Providers - Other Designated MH staff that bill medical]]</f>
        <v>0</v>
      </c>
      <c r="R2" s="6">
        <f>SUM(RevenueTable[[#This Row],[Psychiatrist/ Contracted Psychiatrist]:[Other Qualified Providers - Other Designated MH staff that bill medical]])</f>
        <v>0</v>
      </c>
    </row>
    <row r="3" spans="1:18" x14ac:dyDescent="0.25">
      <c r="A3" s="6" t="str">
        <f>INDEX(CodeMinutesTable[Frequently Used],MATCH(RevenueTable[[#This Row],[Billing Code]],CodeMinutesTable[Code],0))</f>
        <v>Yes</v>
      </c>
      <c r="B3" s="3" t="s">
        <v>41</v>
      </c>
      <c r="C3" t="s">
        <v>42</v>
      </c>
      <c r="D3" s="6">
        <f>UnitsTable[[#This Row],[Psychiatrist/ Contracted Psychiatrist]]*CodeRatesTable[[#This Row],[Psychiatrist/ Contracted Psychiatrist]]</f>
        <v>0</v>
      </c>
      <c r="E3" s="6">
        <f>UnitsTable[[#This Row],[Physicians Assistant]]*CodeRatesTable[[#This Row],[Physicians Assistant]]</f>
        <v>0</v>
      </c>
      <c r="F3" s="6">
        <f>UnitsTable[[#This Row],[Nurse Practitioner]]*CodeRatesTable[[#This Row],[Nurse Practitioner]]</f>
        <v>0</v>
      </c>
      <c r="G3" s="6">
        <f>UnitsTable[[#This Row],[RN]]*CodeRatesTable[[#This Row],[RN]]</f>
        <v>0</v>
      </c>
      <c r="H3" s="6">
        <f>UnitsTable[[#This Row],[Certified Nurse Specialist]]*CodeRatesTable[[#This Row],[Certified Nurse Specialist]]</f>
        <v>0</v>
      </c>
      <c r="I3" s="6">
        <f>UnitsTable[[#This Row],[LVN]]*CodeRatesTable[[#This Row],[LVN]]</f>
        <v>0</v>
      </c>
      <c r="J3" s="6">
        <f>UnitsTable[[#This Row],[Pharmacist]]*CodeRatesTable[[#This Row],[Pharmacist]]</f>
        <v>0</v>
      </c>
      <c r="K3" s="6">
        <f>UnitsTable[[#This Row],[Licensed Psychiatric Technician]]*CodeRatesTable[[#This Row],[Licensed Psychiatric Technician]]</f>
        <v>0</v>
      </c>
      <c r="L3" s="6">
        <f>UnitsTable[[#This Row],[Psychologist/Pre-licensed Psychologist]]*CodeRatesTable[[#This Row],[Psychologist/Pre-licensed Psychologist]]</f>
        <v>0</v>
      </c>
      <c r="M3" s="6">
        <f>UnitsTable[[#This Row],[LPHA (MFT  LCSW  LPCC)/ Intern or Waivered LPHA (MFT  LCSW  LPCC)]]*CodeRatesTable[[#This Row],[LPHA (MFT  LCSW  LPCC)/ Intern or Waivered LPHA (MFT  LCSW  LPCC)]]</f>
        <v>0</v>
      </c>
      <c r="N3" s="6">
        <f>UnitsTable[[#This Row],[Occupational Therapist]]*CodeRatesTable[[#This Row],[Occupational Therapist]]</f>
        <v>0</v>
      </c>
      <c r="O3" s="6">
        <f>UnitsTable[[#This Row],[Mental Health Rehab Specialist]]*CodeRatesTable[[#This Row],[Mental Health Rehab Specialist]]</f>
        <v>0</v>
      </c>
      <c r="P3" s="6">
        <f>UnitsTable[[#This Row],[Peer Recovery Specialist]]*CodeRatesTable[[#This Row],[Peer Recovery Specialist]]</f>
        <v>0</v>
      </c>
      <c r="Q3" s="6">
        <f>UnitsTable[[#This Row],[Other Qualified Providers - Other Designated MH staff that bill medical]]*CodeRatesTable[[#This Row],[Other Qualified Providers - Other Designated MH staff that bill medical]]</f>
        <v>0</v>
      </c>
      <c r="R3" s="6">
        <f>SUM(RevenueTable[[#This Row],[Psychiatrist/ Contracted Psychiatrist]:[Other Qualified Providers - Other Designated MH staff that bill medical]])</f>
        <v>0</v>
      </c>
    </row>
    <row r="4" spans="1:18" x14ac:dyDescent="0.25">
      <c r="A4" s="6" t="str">
        <f>INDEX(CodeMinutesTable[Frequently Used],MATCH(RevenueTable[[#This Row],[Billing Code]],CodeMinutesTable[Code],0))</f>
        <v>Yes</v>
      </c>
      <c r="B4" s="3" t="s">
        <v>43</v>
      </c>
      <c r="C4" t="s">
        <v>44</v>
      </c>
      <c r="D4" s="6">
        <f>UnitsTable[[#This Row],[Psychiatrist/ Contracted Psychiatrist]]*CodeRatesTable[[#This Row],[Psychiatrist/ Contracted Psychiatrist]]</f>
        <v>0</v>
      </c>
      <c r="E4" s="6">
        <f>UnitsTable[[#This Row],[Physicians Assistant]]*CodeRatesTable[[#This Row],[Physicians Assistant]]</f>
        <v>0</v>
      </c>
      <c r="F4" s="6">
        <f>UnitsTable[[#This Row],[Nurse Practitioner]]*CodeRatesTable[[#This Row],[Nurse Practitioner]]</f>
        <v>0</v>
      </c>
      <c r="G4" s="6">
        <f>UnitsTable[[#This Row],[RN]]*CodeRatesTable[[#This Row],[RN]]</f>
        <v>0</v>
      </c>
      <c r="H4" s="6">
        <f>UnitsTable[[#This Row],[Certified Nurse Specialist]]*CodeRatesTable[[#This Row],[Certified Nurse Specialist]]</f>
        <v>0</v>
      </c>
      <c r="I4" s="6">
        <f>UnitsTable[[#This Row],[LVN]]*CodeRatesTable[[#This Row],[LVN]]</f>
        <v>0</v>
      </c>
      <c r="J4" s="6">
        <f>UnitsTable[[#This Row],[Pharmacist]]*CodeRatesTable[[#This Row],[Pharmacist]]</f>
        <v>0</v>
      </c>
      <c r="K4" s="6">
        <f>UnitsTable[[#This Row],[Licensed Psychiatric Technician]]*CodeRatesTable[[#This Row],[Licensed Psychiatric Technician]]</f>
        <v>0</v>
      </c>
      <c r="L4" s="6">
        <f>UnitsTable[[#This Row],[Psychologist/Pre-licensed Psychologist]]*CodeRatesTable[[#This Row],[Psychologist/Pre-licensed Psychologist]]</f>
        <v>0</v>
      </c>
      <c r="M4" s="6">
        <f>UnitsTable[[#This Row],[LPHA (MFT  LCSW  LPCC)/ Intern or Waivered LPHA (MFT  LCSW  LPCC)]]*CodeRatesTable[[#This Row],[LPHA (MFT  LCSW  LPCC)/ Intern or Waivered LPHA (MFT  LCSW  LPCC)]]</f>
        <v>0</v>
      </c>
      <c r="N4" s="6">
        <f>UnitsTable[[#This Row],[Occupational Therapist]]*CodeRatesTable[[#This Row],[Occupational Therapist]]</f>
        <v>0</v>
      </c>
      <c r="O4" s="6">
        <f>UnitsTable[[#This Row],[Mental Health Rehab Specialist]]*CodeRatesTable[[#This Row],[Mental Health Rehab Specialist]]</f>
        <v>0</v>
      </c>
      <c r="P4" s="6">
        <f>UnitsTable[[#This Row],[Peer Recovery Specialist]]*CodeRatesTable[[#This Row],[Peer Recovery Specialist]]</f>
        <v>0</v>
      </c>
      <c r="Q4" s="6">
        <f>UnitsTable[[#This Row],[Other Qualified Providers - Other Designated MH staff that bill medical]]*CodeRatesTable[[#This Row],[Other Qualified Providers - Other Designated MH staff that bill medical]]</f>
        <v>0</v>
      </c>
      <c r="R4" s="6">
        <f>SUM(RevenueTable[[#This Row],[Psychiatrist/ Contracted Psychiatrist]:[Other Qualified Providers - Other Designated MH staff that bill medical]])</f>
        <v>0</v>
      </c>
    </row>
    <row r="5" spans="1:18" x14ac:dyDescent="0.25">
      <c r="A5" s="6" t="str">
        <f>INDEX(CodeMinutesTable[Frequently Used],MATCH(RevenueTable[[#This Row],[Billing Code]],CodeMinutesTable[Code],0))</f>
        <v>Yes</v>
      </c>
      <c r="B5" s="3" t="s">
        <v>45</v>
      </c>
      <c r="C5" t="s">
        <v>46</v>
      </c>
      <c r="D5" s="6">
        <f>UnitsTable[[#This Row],[Psychiatrist/ Contracted Psychiatrist]]*CodeRatesTable[[#This Row],[Psychiatrist/ Contracted Psychiatrist]]</f>
        <v>0</v>
      </c>
      <c r="E5" s="6">
        <f>UnitsTable[[#This Row],[Physicians Assistant]]*CodeRatesTable[[#This Row],[Physicians Assistant]]</f>
        <v>0</v>
      </c>
      <c r="F5" s="6">
        <f>UnitsTable[[#This Row],[Nurse Practitioner]]*CodeRatesTable[[#This Row],[Nurse Practitioner]]</f>
        <v>0</v>
      </c>
      <c r="G5" s="6">
        <f>UnitsTable[[#This Row],[RN]]*CodeRatesTable[[#This Row],[RN]]</f>
        <v>0</v>
      </c>
      <c r="H5" s="6">
        <f>UnitsTable[[#This Row],[Certified Nurse Specialist]]*CodeRatesTable[[#This Row],[Certified Nurse Specialist]]</f>
        <v>0</v>
      </c>
      <c r="I5" s="6">
        <f>UnitsTable[[#This Row],[LVN]]*CodeRatesTable[[#This Row],[LVN]]</f>
        <v>0</v>
      </c>
      <c r="J5" s="6">
        <f>UnitsTable[[#This Row],[Pharmacist]]*CodeRatesTable[[#This Row],[Pharmacist]]</f>
        <v>0</v>
      </c>
      <c r="K5" s="6">
        <f>UnitsTable[[#This Row],[Licensed Psychiatric Technician]]*CodeRatesTable[[#This Row],[Licensed Psychiatric Technician]]</f>
        <v>0</v>
      </c>
      <c r="L5" s="6">
        <f>UnitsTable[[#This Row],[Psychologist/Pre-licensed Psychologist]]*CodeRatesTable[[#This Row],[Psychologist/Pre-licensed Psychologist]]</f>
        <v>0</v>
      </c>
      <c r="M5" s="6">
        <f>UnitsTable[[#This Row],[LPHA (MFT  LCSW  LPCC)/ Intern or Waivered LPHA (MFT  LCSW  LPCC)]]*CodeRatesTable[[#This Row],[LPHA (MFT  LCSW  LPCC)/ Intern or Waivered LPHA (MFT  LCSW  LPCC)]]</f>
        <v>0</v>
      </c>
      <c r="N5" s="6">
        <f>UnitsTable[[#This Row],[Occupational Therapist]]*CodeRatesTable[[#This Row],[Occupational Therapist]]</f>
        <v>0</v>
      </c>
      <c r="O5" s="6">
        <f>UnitsTable[[#This Row],[Mental Health Rehab Specialist]]*CodeRatesTable[[#This Row],[Mental Health Rehab Specialist]]</f>
        <v>0</v>
      </c>
      <c r="P5" s="6">
        <f>UnitsTable[[#This Row],[Peer Recovery Specialist]]*CodeRatesTable[[#This Row],[Peer Recovery Specialist]]</f>
        <v>0</v>
      </c>
      <c r="Q5" s="6">
        <f>UnitsTable[[#This Row],[Other Qualified Providers - Other Designated MH staff that bill medical]]*CodeRatesTable[[#This Row],[Other Qualified Providers - Other Designated MH staff that bill medical]]</f>
        <v>0</v>
      </c>
      <c r="R5" s="6">
        <f>SUM(RevenueTable[[#This Row],[Psychiatrist/ Contracted Psychiatrist]:[Other Qualified Providers - Other Designated MH staff that bill medical]])</f>
        <v>0</v>
      </c>
    </row>
    <row r="6" spans="1:18" hidden="1" x14ac:dyDescent="0.25">
      <c r="A6" s="6" t="str">
        <f>INDEX(CodeMinutesTable[Frequently Used],MATCH(RevenueTable[[#This Row],[Billing Code]],CodeMinutesTable[Code],0))</f>
        <v>No</v>
      </c>
      <c r="B6" s="3" t="s">
        <v>47</v>
      </c>
      <c r="C6" t="s">
        <v>48</v>
      </c>
      <c r="D6" s="6">
        <f>UnitsTable[[#This Row],[Psychiatrist/ Contracted Psychiatrist]]*CodeRatesTable[[#This Row],[Psychiatrist/ Contracted Psychiatrist]]</f>
        <v>0</v>
      </c>
      <c r="E6" s="6">
        <f>UnitsTable[[#This Row],[Physicians Assistant]]*CodeRatesTable[[#This Row],[Physicians Assistant]]</f>
        <v>0</v>
      </c>
      <c r="F6" s="6">
        <f>UnitsTable[[#This Row],[Nurse Practitioner]]*CodeRatesTable[[#This Row],[Nurse Practitioner]]</f>
        <v>0</v>
      </c>
      <c r="G6" s="6">
        <f>UnitsTable[[#This Row],[RN]]*CodeRatesTable[[#This Row],[RN]]</f>
        <v>0</v>
      </c>
      <c r="H6" s="6">
        <f>UnitsTable[[#This Row],[Certified Nurse Specialist]]*CodeRatesTable[[#This Row],[Certified Nurse Specialist]]</f>
        <v>0</v>
      </c>
      <c r="I6" s="6">
        <f>UnitsTable[[#This Row],[LVN]]*CodeRatesTable[[#This Row],[LVN]]</f>
        <v>0</v>
      </c>
      <c r="J6" s="6">
        <f>UnitsTable[[#This Row],[Pharmacist]]*CodeRatesTable[[#This Row],[Pharmacist]]</f>
        <v>0</v>
      </c>
      <c r="K6" s="6">
        <f>UnitsTable[[#This Row],[Licensed Psychiatric Technician]]*CodeRatesTable[[#This Row],[Licensed Psychiatric Technician]]</f>
        <v>0</v>
      </c>
      <c r="L6" s="6">
        <f>UnitsTable[[#This Row],[Psychologist/Pre-licensed Psychologist]]*CodeRatesTable[[#This Row],[Psychologist/Pre-licensed Psychologist]]</f>
        <v>0</v>
      </c>
      <c r="M6" s="6">
        <f>UnitsTable[[#This Row],[LPHA (MFT  LCSW  LPCC)/ Intern or Waivered LPHA (MFT  LCSW  LPCC)]]*CodeRatesTable[[#This Row],[LPHA (MFT  LCSW  LPCC)/ Intern or Waivered LPHA (MFT  LCSW  LPCC)]]</f>
        <v>0</v>
      </c>
      <c r="N6" s="6">
        <f>UnitsTable[[#This Row],[Occupational Therapist]]*CodeRatesTable[[#This Row],[Occupational Therapist]]</f>
        <v>0</v>
      </c>
      <c r="O6" s="6">
        <f>UnitsTable[[#This Row],[Mental Health Rehab Specialist]]*CodeRatesTable[[#This Row],[Mental Health Rehab Specialist]]</f>
        <v>0</v>
      </c>
      <c r="P6" s="6">
        <f>UnitsTable[[#This Row],[Peer Recovery Specialist]]*CodeRatesTable[[#This Row],[Peer Recovery Specialist]]</f>
        <v>0</v>
      </c>
      <c r="Q6" s="6">
        <f>UnitsTable[[#This Row],[Other Qualified Providers - Other Designated MH staff that bill medical]]*CodeRatesTable[[#This Row],[Other Qualified Providers - Other Designated MH staff that bill medical]]</f>
        <v>0</v>
      </c>
      <c r="R6" s="6">
        <f>SUM(RevenueTable[[#This Row],[Psychiatrist/ Contracted Psychiatrist]:[Other Qualified Providers - Other Designated MH staff that bill medical]])</f>
        <v>0</v>
      </c>
    </row>
    <row r="7" spans="1:18" x14ac:dyDescent="0.25">
      <c r="A7" s="6" t="str">
        <f>INDEX(CodeMinutesTable[Frequently Used],MATCH(RevenueTable[[#This Row],[Billing Code]],CodeMinutesTable[Code],0))</f>
        <v>Yes</v>
      </c>
      <c r="B7" s="3" t="s">
        <v>49</v>
      </c>
      <c r="C7" t="s">
        <v>50</v>
      </c>
      <c r="D7" s="6">
        <f>UnitsTable[[#This Row],[Psychiatrist/ Contracted Psychiatrist]]*CodeRatesTable[[#This Row],[Psychiatrist/ Contracted Psychiatrist]]</f>
        <v>0</v>
      </c>
      <c r="E7" s="6">
        <f>UnitsTable[[#This Row],[Physicians Assistant]]*CodeRatesTable[[#This Row],[Physicians Assistant]]</f>
        <v>0</v>
      </c>
      <c r="F7" s="6">
        <f>UnitsTable[[#This Row],[Nurse Practitioner]]*CodeRatesTable[[#This Row],[Nurse Practitioner]]</f>
        <v>0</v>
      </c>
      <c r="G7" s="6">
        <f>UnitsTable[[#This Row],[RN]]*CodeRatesTable[[#This Row],[RN]]</f>
        <v>0</v>
      </c>
      <c r="H7" s="6">
        <f>UnitsTable[[#This Row],[Certified Nurse Specialist]]*CodeRatesTable[[#This Row],[Certified Nurse Specialist]]</f>
        <v>0</v>
      </c>
      <c r="I7" s="6">
        <f>UnitsTable[[#This Row],[LVN]]*CodeRatesTable[[#This Row],[LVN]]</f>
        <v>0</v>
      </c>
      <c r="J7" s="6">
        <f>UnitsTable[[#This Row],[Pharmacist]]*CodeRatesTable[[#This Row],[Pharmacist]]</f>
        <v>0</v>
      </c>
      <c r="K7" s="6">
        <f>UnitsTable[[#This Row],[Licensed Psychiatric Technician]]*CodeRatesTable[[#This Row],[Licensed Psychiatric Technician]]</f>
        <v>0</v>
      </c>
      <c r="L7" s="6">
        <f>UnitsTable[[#This Row],[Psychologist/Pre-licensed Psychologist]]*CodeRatesTable[[#This Row],[Psychologist/Pre-licensed Psychologist]]</f>
        <v>0</v>
      </c>
      <c r="M7" s="6">
        <f>UnitsTable[[#This Row],[LPHA (MFT  LCSW  LPCC)/ Intern or Waivered LPHA (MFT  LCSW  LPCC)]]*CodeRatesTable[[#This Row],[LPHA (MFT  LCSW  LPCC)/ Intern or Waivered LPHA (MFT  LCSW  LPCC)]]</f>
        <v>0</v>
      </c>
      <c r="N7" s="6">
        <f>UnitsTable[[#This Row],[Occupational Therapist]]*CodeRatesTable[[#This Row],[Occupational Therapist]]</f>
        <v>0</v>
      </c>
      <c r="O7" s="6">
        <f>UnitsTable[[#This Row],[Mental Health Rehab Specialist]]*CodeRatesTable[[#This Row],[Mental Health Rehab Specialist]]</f>
        <v>0</v>
      </c>
      <c r="P7" s="6">
        <f>UnitsTable[[#This Row],[Peer Recovery Specialist]]*CodeRatesTable[[#This Row],[Peer Recovery Specialist]]</f>
        <v>0</v>
      </c>
      <c r="Q7" s="6">
        <f>UnitsTable[[#This Row],[Other Qualified Providers - Other Designated MH staff that bill medical]]*CodeRatesTable[[#This Row],[Other Qualified Providers - Other Designated MH staff that bill medical]]</f>
        <v>0</v>
      </c>
      <c r="R7" s="6">
        <f>SUM(RevenueTable[[#This Row],[Psychiatrist/ Contracted Psychiatrist]:[Other Qualified Providers - Other Designated MH staff that bill medical]])</f>
        <v>0</v>
      </c>
    </row>
    <row r="8" spans="1:18" hidden="1" x14ac:dyDescent="0.25">
      <c r="A8" s="6" t="str">
        <f>INDEX(CodeMinutesTable[Frequently Used],MATCH(RevenueTable[[#This Row],[Billing Code]],CodeMinutesTable[Code],0))</f>
        <v>No</v>
      </c>
      <c r="B8" s="3" t="s">
        <v>51</v>
      </c>
      <c r="C8" t="s">
        <v>52</v>
      </c>
      <c r="D8" s="6">
        <f>UnitsTable[[#This Row],[Psychiatrist/ Contracted Psychiatrist]]*CodeRatesTable[[#This Row],[Psychiatrist/ Contracted Psychiatrist]]</f>
        <v>0</v>
      </c>
      <c r="E8" s="6">
        <f>UnitsTable[[#This Row],[Physicians Assistant]]*CodeRatesTable[[#This Row],[Physicians Assistant]]</f>
        <v>0</v>
      </c>
      <c r="F8" s="6">
        <f>UnitsTable[[#This Row],[Nurse Practitioner]]*CodeRatesTable[[#This Row],[Nurse Practitioner]]</f>
        <v>0</v>
      </c>
      <c r="G8" s="6">
        <f>UnitsTable[[#This Row],[RN]]*CodeRatesTable[[#This Row],[RN]]</f>
        <v>0</v>
      </c>
      <c r="H8" s="6">
        <f>UnitsTable[[#This Row],[Certified Nurse Specialist]]*CodeRatesTable[[#This Row],[Certified Nurse Specialist]]</f>
        <v>0</v>
      </c>
      <c r="I8" s="6">
        <f>UnitsTable[[#This Row],[LVN]]*CodeRatesTable[[#This Row],[LVN]]</f>
        <v>0</v>
      </c>
      <c r="J8" s="6">
        <f>UnitsTable[[#This Row],[Pharmacist]]*CodeRatesTable[[#This Row],[Pharmacist]]</f>
        <v>0</v>
      </c>
      <c r="K8" s="6">
        <f>UnitsTable[[#This Row],[Licensed Psychiatric Technician]]*CodeRatesTable[[#This Row],[Licensed Psychiatric Technician]]</f>
        <v>0</v>
      </c>
      <c r="L8" s="6">
        <f>UnitsTable[[#This Row],[Psychologist/Pre-licensed Psychologist]]*CodeRatesTable[[#This Row],[Psychologist/Pre-licensed Psychologist]]</f>
        <v>0</v>
      </c>
      <c r="M8" s="6">
        <f>UnitsTable[[#This Row],[LPHA (MFT  LCSW  LPCC)/ Intern or Waivered LPHA (MFT  LCSW  LPCC)]]*CodeRatesTable[[#This Row],[LPHA (MFT  LCSW  LPCC)/ Intern or Waivered LPHA (MFT  LCSW  LPCC)]]</f>
        <v>0</v>
      </c>
      <c r="N8" s="6">
        <f>UnitsTable[[#This Row],[Occupational Therapist]]*CodeRatesTable[[#This Row],[Occupational Therapist]]</f>
        <v>0</v>
      </c>
      <c r="O8" s="6">
        <f>UnitsTable[[#This Row],[Mental Health Rehab Specialist]]*CodeRatesTable[[#This Row],[Mental Health Rehab Specialist]]</f>
        <v>0</v>
      </c>
      <c r="P8" s="6">
        <f>UnitsTable[[#This Row],[Peer Recovery Specialist]]*CodeRatesTable[[#This Row],[Peer Recovery Specialist]]</f>
        <v>0</v>
      </c>
      <c r="Q8" s="6">
        <f>UnitsTable[[#This Row],[Other Qualified Providers - Other Designated MH staff that bill medical]]*CodeRatesTable[[#This Row],[Other Qualified Providers - Other Designated MH staff that bill medical]]</f>
        <v>0</v>
      </c>
      <c r="R8" s="6">
        <f>SUM(RevenueTable[[#This Row],[Psychiatrist/ Contracted Psychiatrist]:[Other Qualified Providers - Other Designated MH staff that bill medical]])</f>
        <v>0</v>
      </c>
    </row>
    <row r="9" spans="1:18" x14ac:dyDescent="0.25">
      <c r="A9" s="6" t="str">
        <f>INDEX(CodeMinutesTable[Frequently Used],MATCH(RevenueTable[[#This Row],[Billing Code]],CodeMinutesTable[Code],0))</f>
        <v>Yes</v>
      </c>
      <c r="B9" s="3" t="s">
        <v>53</v>
      </c>
      <c r="C9" t="s">
        <v>54</v>
      </c>
      <c r="D9" s="6">
        <f>UnitsTable[[#This Row],[Psychiatrist/ Contracted Psychiatrist]]*CodeRatesTable[[#This Row],[Psychiatrist/ Contracted Psychiatrist]]</f>
        <v>0</v>
      </c>
      <c r="E9" s="6">
        <f>UnitsTable[[#This Row],[Physicians Assistant]]*CodeRatesTable[[#This Row],[Physicians Assistant]]</f>
        <v>0</v>
      </c>
      <c r="F9" s="6">
        <f>UnitsTable[[#This Row],[Nurse Practitioner]]*CodeRatesTable[[#This Row],[Nurse Practitioner]]</f>
        <v>0</v>
      </c>
      <c r="G9" s="6">
        <f>UnitsTable[[#This Row],[RN]]*CodeRatesTable[[#This Row],[RN]]</f>
        <v>0</v>
      </c>
      <c r="H9" s="6">
        <f>UnitsTable[[#This Row],[Certified Nurse Specialist]]*CodeRatesTable[[#This Row],[Certified Nurse Specialist]]</f>
        <v>0</v>
      </c>
      <c r="I9" s="6">
        <f>UnitsTable[[#This Row],[LVN]]*CodeRatesTable[[#This Row],[LVN]]</f>
        <v>0</v>
      </c>
      <c r="J9" s="6">
        <f>UnitsTable[[#This Row],[Pharmacist]]*CodeRatesTable[[#This Row],[Pharmacist]]</f>
        <v>0</v>
      </c>
      <c r="K9" s="6">
        <f>UnitsTable[[#This Row],[Licensed Psychiatric Technician]]*CodeRatesTable[[#This Row],[Licensed Psychiatric Technician]]</f>
        <v>0</v>
      </c>
      <c r="L9" s="6">
        <f>UnitsTable[[#This Row],[Psychologist/Pre-licensed Psychologist]]*CodeRatesTable[[#This Row],[Psychologist/Pre-licensed Psychologist]]</f>
        <v>0</v>
      </c>
      <c r="M9" s="6">
        <f>UnitsTable[[#This Row],[LPHA (MFT  LCSW  LPCC)/ Intern or Waivered LPHA (MFT  LCSW  LPCC)]]*CodeRatesTable[[#This Row],[LPHA (MFT  LCSW  LPCC)/ Intern or Waivered LPHA (MFT  LCSW  LPCC)]]</f>
        <v>0</v>
      </c>
      <c r="N9" s="6">
        <f>UnitsTable[[#This Row],[Occupational Therapist]]*CodeRatesTable[[#This Row],[Occupational Therapist]]</f>
        <v>0</v>
      </c>
      <c r="O9" s="6">
        <f>UnitsTable[[#This Row],[Mental Health Rehab Specialist]]*CodeRatesTable[[#This Row],[Mental Health Rehab Specialist]]</f>
        <v>0</v>
      </c>
      <c r="P9" s="6">
        <f>UnitsTable[[#This Row],[Peer Recovery Specialist]]*CodeRatesTable[[#This Row],[Peer Recovery Specialist]]</f>
        <v>0</v>
      </c>
      <c r="Q9" s="6">
        <f>UnitsTable[[#This Row],[Other Qualified Providers - Other Designated MH staff that bill medical]]*CodeRatesTable[[#This Row],[Other Qualified Providers - Other Designated MH staff that bill medical]]</f>
        <v>0</v>
      </c>
      <c r="R9" s="6">
        <f>SUM(RevenueTable[[#This Row],[Psychiatrist/ Contracted Psychiatrist]:[Other Qualified Providers - Other Designated MH staff that bill medical]])</f>
        <v>0</v>
      </c>
    </row>
    <row r="10" spans="1:18" hidden="1" x14ac:dyDescent="0.25">
      <c r="A10" s="6" t="str">
        <f>INDEX(CodeMinutesTable[Frequently Used],MATCH(RevenueTable[[#This Row],[Billing Code]],CodeMinutesTable[Code],0))</f>
        <v>No</v>
      </c>
      <c r="B10" s="3" t="s">
        <v>55</v>
      </c>
      <c r="C10" t="s">
        <v>56</v>
      </c>
      <c r="D10" s="6">
        <f>UnitsTable[[#This Row],[Psychiatrist/ Contracted Psychiatrist]]*CodeRatesTable[[#This Row],[Psychiatrist/ Contracted Psychiatrist]]</f>
        <v>0</v>
      </c>
      <c r="E10" s="6">
        <f>UnitsTable[[#This Row],[Physicians Assistant]]*CodeRatesTable[[#This Row],[Physicians Assistant]]</f>
        <v>0</v>
      </c>
      <c r="F10" s="6">
        <f>UnitsTable[[#This Row],[Nurse Practitioner]]*CodeRatesTable[[#This Row],[Nurse Practitioner]]</f>
        <v>0</v>
      </c>
      <c r="G10" s="6">
        <f>UnitsTable[[#This Row],[RN]]*CodeRatesTable[[#This Row],[RN]]</f>
        <v>0</v>
      </c>
      <c r="H10" s="6">
        <f>UnitsTable[[#This Row],[Certified Nurse Specialist]]*CodeRatesTable[[#This Row],[Certified Nurse Specialist]]</f>
        <v>0</v>
      </c>
      <c r="I10" s="6">
        <f>UnitsTable[[#This Row],[LVN]]*CodeRatesTable[[#This Row],[LVN]]</f>
        <v>0</v>
      </c>
      <c r="J10" s="6">
        <f>UnitsTable[[#This Row],[Pharmacist]]*CodeRatesTable[[#This Row],[Pharmacist]]</f>
        <v>0</v>
      </c>
      <c r="K10" s="6">
        <f>UnitsTable[[#This Row],[Licensed Psychiatric Technician]]*CodeRatesTable[[#This Row],[Licensed Psychiatric Technician]]</f>
        <v>0</v>
      </c>
      <c r="L10" s="6">
        <f>UnitsTable[[#This Row],[Psychologist/Pre-licensed Psychologist]]*CodeRatesTable[[#This Row],[Psychologist/Pre-licensed Psychologist]]</f>
        <v>0</v>
      </c>
      <c r="M10" s="6">
        <f>UnitsTable[[#This Row],[LPHA (MFT  LCSW  LPCC)/ Intern or Waivered LPHA (MFT  LCSW  LPCC)]]*CodeRatesTable[[#This Row],[LPHA (MFT  LCSW  LPCC)/ Intern or Waivered LPHA (MFT  LCSW  LPCC)]]</f>
        <v>0</v>
      </c>
      <c r="N10" s="6">
        <f>UnitsTable[[#This Row],[Occupational Therapist]]*CodeRatesTable[[#This Row],[Occupational Therapist]]</f>
        <v>0</v>
      </c>
      <c r="O10" s="6">
        <f>UnitsTable[[#This Row],[Mental Health Rehab Specialist]]*CodeRatesTable[[#This Row],[Mental Health Rehab Specialist]]</f>
        <v>0</v>
      </c>
      <c r="P10" s="6">
        <f>UnitsTable[[#This Row],[Peer Recovery Specialist]]*CodeRatesTable[[#This Row],[Peer Recovery Specialist]]</f>
        <v>0</v>
      </c>
      <c r="Q10" s="6">
        <f>UnitsTable[[#This Row],[Other Qualified Providers - Other Designated MH staff that bill medical]]*CodeRatesTable[[#This Row],[Other Qualified Providers - Other Designated MH staff that bill medical]]</f>
        <v>0</v>
      </c>
      <c r="R10" s="6">
        <f>SUM(RevenueTable[[#This Row],[Psychiatrist/ Contracted Psychiatrist]:[Other Qualified Providers - Other Designated MH staff that bill medical]])</f>
        <v>0</v>
      </c>
    </row>
    <row r="11" spans="1:18" x14ac:dyDescent="0.25">
      <c r="A11" s="6" t="str">
        <f>INDEX(CodeMinutesTable[Frequently Used],MATCH(RevenueTable[[#This Row],[Billing Code]],CodeMinutesTable[Code],0))</f>
        <v>Yes</v>
      </c>
      <c r="B11" s="3" t="s">
        <v>57</v>
      </c>
      <c r="C11" t="s">
        <v>58</v>
      </c>
      <c r="D11" s="6">
        <f>UnitsTable[[#This Row],[Psychiatrist/ Contracted Psychiatrist]]*CodeRatesTable[[#This Row],[Psychiatrist/ Contracted Psychiatrist]]</f>
        <v>0</v>
      </c>
      <c r="E11" s="6">
        <f>UnitsTable[[#This Row],[Physicians Assistant]]*CodeRatesTable[[#This Row],[Physicians Assistant]]</f>
        <v>0</v>
      </c>
      <c r="F11" s="6">
        <f>UnitsTable[[#This Row],[Nurse Practitioner]]*CodeRatesTable[[#This Row],[Nurse Practitioner]]</f>
        <v>0</v>
      </c>
      <c r="G11" s="6">
        <f>UnitsTable[[#This Row],[RN]]*CodeRatesTable[[#This Row],[RN]]</f>
        <v>0</v>
      </c>
      <c r="H11" s="6">
        <f>UnitsTable[[#This Row],[Certified Nurse Specialist]]*CodeRatesTable[[#This Row],[Certified Nurse Specialist]]</f>
        <v>0</v>
      </c>
      <c r="I11" s="6">
        <f>UnitsTable[[#This Row],[LVN]]*CodeRatesTable[[#This Row],[LVN]]</f>
        <v>0</v>
      </c>
      <c r="J11" s="6">
        <f>UnitsTable[[#This Row],[Pharmacist]]*CodeRatesTable[[#This Row],[Pharmacist]]</f>
        <v>0</v>
      </c>
      <c r="K11" s="6">
        <f>UnitsTable[[#This Row],[Licensed Psychiatric Technician]]*CodeRatesTable[[#This Row],[Licensed Psychiatric Technician]]</f>
        <v>0</v>
      </c>
      <c r="L11" s="6">
        <f>UnitsTable[[#This Row],[Psychologist/Pre-licensed Psychologist]]*CodeRatesTable[[#This Row],[Psychologist/Pre-licensed Psychologist]]</f>
        <v>0</v>
      </c>
      <c r="M11" s="6">
        <f>UnitsTable[[#This Row],[LPHA (MFT  LCSW  LPCC)/ Intern or Waivered LPHA (MFT  LCSW  LPCC)]]*CodeRatesTable[[#This Row],[LPHA (MFT  LCSW  LPCC)/ Intern or Waivered LPHA (MFT  LCSW  LPCC)]]</f>
        <v>0</v>
      </c>
      <c r="N11" s="6">
        <f>UnitsTable[[#This Row],[Occupational Therapist]]*CodeRatesTable[[#This Row],[Occupational Therapist]]</f>
        <v>0</v>
      </c>
      <c r="O11" s="6">
        <f>UnitsTable[[#This Row],[Mental Health Rehab Specialist]]*CodeRatesTable[[#This Row],[Mental Health Rehab Specialist]]</f>
        <v>0</v>
      </c>
      <c r="P11" s="6">
        <f>UnitsTable[[#This Row],[Peer Recovery Specialist]]*CodeRatesTable[[#This Row],[Peer Recovery Specialist]]</f>
        <v>0</v>
      </c>
      <c r="Q11" s="6">
        <f>UnitsTable[[#This Row],[Other Qualified Providers - Other Designated MH staff that bill medical]]*CodeRatesTable[[#This Row],[Other Qualified Providers - Other Designated MH staff that bill medical]]</f>
        <v>0</v>
      </c>
      <c r="R11" s="6">
        <f>SUM(RevenueTable[[#This Row],[Psychiatrist/ Contracted Psychiatrist]:[Other Qualified Providers - Other Designated MH staff that bill medical]])</f>
        <v>0</v>
      </c>
    </row>
    <row r="12" spans="1:18" x14ac:dyDescent="0.25">
      <c r="A12" s="6" t="str">
        <f>INDEX(CodeMinutesTable[Frequently Used],MATCH(RevenueTable[[#This Row],[Billing Code]],CodeMinutesTable[Code],0))</f>
        <v>Yes</v>
      </c>
      <c r="B12" s="3" t="s">
        <v>59</v>
      </c>
      <c r="C12" t="s">
        <v>60</v>
      </c>
      <c r="D12" s="6">
        <f>UnitsTable[[#This Row],[Psychiatrist/ Contracted Psychiatrist]]*CodeRatesTable[[#This Row],[Psychiatrist/ Contracted Psychiatrist]]</f>
        <v>0</v>
      </c>
      <c r="E12" s="6">
        <f>UnitsTable[[#This Row],[Physicians Assistant]]*CodeRatesTable[[#This Row],[Physicians Assistant]]</f>
        <v>0</v>
      </c>
      <c r="F12" s="6">
        <f>UnitsTable[[#This Row],[Nurse Practitioner]]*CodeRatesTable[[#This Row],[Nurse Practitioner]]</f>
        <v>0</v>
      </c>
      <c r="G12" s="6">
        <f>UnitsTable[[#This Row],[RN]]*CodeRatesTable[[#This Row],[RN]]</f>
        <v>0</v>
      </c>
      <c r="H12" s="6">
        <f>UnitsTable[[#This Row],[Certified Nurse Specialist]]*CodeRatesTable[[#This Row],[Certified Nurse Specialist]]</f>
        <v>0</v>
      </c>
      <c r="I12" s="6">
        <f>UnitsTable[[#This Row],[LVN]]*CodeRatesTable[[#This Row],[LVN]]</f>
        <v>0</v>
      </c>
      <c r="J12" s="6">
        <f>UnitsTable[[#This Row],[Pharmacist]]*CodeRatesTable[[#This Row],[Pharmacist]]</f>
        <v>0</v>
      </c>
      <c r="K12" s="6">
        <f>UnitsTable[[#This Row],[Licensed Psychiatric Technician]]*CodeRatesTable[[#This Row],[Licensed Psychiatric Technician]]</f>
        <v>0</v>
      </c>
      <c r="L12" s="6">
        <f>UnitsTable[[#This Row],[Psychologist/Pre-licensed Psychologist]]*CodeRatesTable[[#This Row],[Psychologist/Pre-licensed Psychologist]]</f>
        <v>0</v>
      </c>
      <c r="M12" s="6">
        <f>UnitsTable[[#This Row],[LPHA (MFT  LCSW  LPCC)/ Intern or Waivered LPHA (MFT  LCSW  LPCC)]]*CodeRatesTable[[#This Row],[LPHA (MFT  LCSW  LPCC)/ Intern or Waivered LPHA (MFT  LCSW  LPCC)]]</f>
        <v>0</v>
      </c>
      <c r="N12" s="6">
        <f>UnitsTable[[#This Row],[Occupational Therapist]]*CodeRatesTable[[#This Row],[Occupational Therapist]]</f>
        <v>0</v>
      </c>
      <c r="O12" s="6">
        <f>UnitsTable[[#This Row],[Mental Health Rehab Specialist]]*CodeRatesTable[[#This Row],[Mental Health Rehab Specialist]]</f>
        <v>0</v>
      </c>
      <c r="P12" s="6">
        <f>UnitsTable[[#This Row],[Peer Recovery Specialist]]*CodeRatesTable[[#This Row],[Peer Recovery Specialist]]</f>
        <v>0</v>
      </c>
      <c r="Q12" s="6">
        <f>UnitsTable[[#This Row],[Other Qualified Providers - Other Designated MH staff that bill medical]]*CodeRatesTable[[#This Row],[Other Qualified Providers - Other Designated MH staff that bill medical]]</f>
        <v>0</v>
      </c>
      <c r="R12" s="6">
        <f>SUM(RevenueTable[[#This Row],[Psychiatrist/ Contracted Psychiatrist]:[Other Qualified Providers - Other Designated MH staff that bill medical]])</f>
        <v>0</v>
      </c>
    </row>
    <row r="13" spans="1:18" hidden="1" x14ac:dyDescent="0.25">
      <c r="A13" s="6" t="str">
        <f>INDEX(CodeMinutesTable[Frequently Used],MATCH(RevenueTable[[#This Row],[Billing Code]],CodeMinutesTable[Code],0))</f>
        <v>No</v>
      </c>
      <c r="B13" s="3" t="s">
        <v>61</v>
      </c>
      <c r="C13" t="s">
        <v>62</v>
      </c>
      <c r="D13" s="6">
        <f>UnitsTable[[#This Row],[Psychiatrist/ Contracted Psychiatrist]]*CodeRatesTable[[#This Row],[Psychiatrist/ Contracted Psychiatrist]]</f>
        <v>0</v>
      </c>
      <c r="E13" s="6">
        <f>UnitsTable[[#This Row],[Physicians Assistant]]*CodeRatesTable[[#This Row],[Physicians Assistant]]</f>
        <v>0</v>
      </c>
      <c r="F13" s="6">
        <f>UnitsTable[[#This Row],[Nurse Practitioner]]*CodeRatesTable[[#This Row],[Nurse Practitioner]]</f>
        <v>0</v>
      </c>
      <c r="G13" s="6">
        <f>UnitsTable[[#This Row],[RN]]*CodeRatesTable[[#This Row],[RN]]</f>
        <v>0</v>
      </c>
      <c r="H13" s="6">
        <f>UnitsTable[[#This Row],[Certified Nurse Specialist]]*CodeRatesTable[[#This Row],[Certified Nurse Specialist]]</f>
        <v>0</v>
      </c>
      <c r="I13" s="6">
        <f>UnitsTable[[#This Row],[LVN]]*CodeRatesTable[[#This Row],[LVN]]</f>
        <v>0</v>
      </c>
      <c r="J13" s="6">
        <f>UnitsTable[[#This Row],[Pharmacist]]*CodeRatesTable[[#This Row],[Pharmacist]]</f>
        <v>0</v>
      </c>
      <c r="K13" s="6">
        <f>UnitsTable[[#This Row],[Licensed Psychiatric Technician]]*CodeRatesTable[[#This Row],[Licensed Psychiatric Technician]]</f>
        <v>0</v>
      </c>
      <c r="L13" s="6">
        <f>UnitsTable[[#This Row],[Psychologist/Pre-licensed Psychologist]]*CodeRatesTable[[#This Row],[Psychologist/Pre-licensed Psychologist]]</f>
        <v>0</v>
      </c>
      <c r="M13" s="6">
        <f>UnitsTable[[#This Row],[LPHA (MFT  LCSW  LPCC)/ Intern or Waivered LPHA (MFT  LCSW  LPCC)]]*CodeRatesTable[[#This Row],[LPHA (MFT  LCSW  LPCC)/ Intern or Waivered LPHA (MFT  LCSW  LPCC)]]</f>
        <v>0</v>
      </c>
      <c r="N13" s="6">
        <f>UnitsTable[[#This Row],[Occupational Therapist]]*CodeRatesTable[[#This Row],[Occupational Therapist]]</f>
        <v>0</v>
      </c>
      <c r="O13" s="6">
        <f>UnitsTable[[#This Row],[Mental Health Rehab Specialist]]*CodeRatesTable[[#This Row],[Mental Health Rehab Specialist]]</f>
        <v>0</v>
      </c>
      <c r="P13" s="6">
        <f>UnitsTable[[#This Row],[Peer Recovery Specialist]]*CodeRatesTable[[#This Row],[Peer Recovery Specialist]]</f>
        <v>0</v>
      </c>
      <c r="Q13" s="6">
        <f>UnitsTable[[#This Row],[Other Qualified Providers - Other Designated MH staff that bill medical]]*CodeRatesTable[[#This Row],[Other Qualified Providers - Other Designated MH staff that bill medical]]</f>
        <v>0</v>
      </c>
      <c r="R13" s="6">
        <f>SUM(RevenueTable[[#This Row],[Psychiatrist/ Contracted Psychiatrist]:[Other Qualified Providers - Other Designated MH staff that bill medical]])</f>
        <v>0</v>
      </c>
    </row>
    <row r="14" spans="1:18" x14ac:dyDescent="0.25">
      <c r="A14" s="6" t="str">
        <f>INDEX(CodeMinutesTable[Frequently Used],MATCH(RevenueTable[[#This Row],[Billing Code]],CodeMinutesTable[Code],0))</f>
        <v>Yes</v>
      </c>
      <c r="B14" s="3" t="s">
        <v>63</v>
      </c>
      <c r="C14" t="s">
        <v>64</v>
      </c>
      <c r="D14" s="6">
        <f>UnitsTable[[#This Row],[Psychiatrist/ Contracted Psychiatrist]]*CodeRatesTable[[#This Row],[Psychiatrist/ Contracted Psychiatrist]]</f>
        <v>0</v>
      </c>
      <c r="E14" s="6">
        <f>UnitsTable[[#This Row],[Physicians Assistant]]*CodeRatesTable[[#This Row],[Physicians Assistant]]</f>
        <v>0</v>
      </c>
      <c r="F14" s="6">
        <f>UnitsTable[[#This Row],[Nurse Practitioner]]*CodeRatesTable[[#This Row],[Nurse Practitioner]]</f>
        <v>0</v>
      </c>
      <c r="G14" s="6">
        <f>UnitsTable[[#This Row],[RN]]*CodeRatesTable[[#This Row],[RN]]</f>
        <v>0</v>
      </c>
      <c r="H14" s="6">
        <f>UnitsTable[[#This Row],[Certified Nurse Specialist]]*CodeRatesTable[[#This Row],[Certified Nurse Specialist]]</f>
        <v>0</v>
      </c>
      <c r="I14" s="6">
        <f>UnitsTable[[#This Row],[LVN]]*CodeRatesTable[[#This Row],[LVN]]</f>
        <v>0</v>
      </c>
      <c r="J14" s="6">
        <f>UnitsTable[[#This Row],[Pharmacist]]*CodeRatesTable[[#This Row],[Pharmacist]]</f>
        <v>0</v>
      </c>
      <c r="K14" s="6">
        <f>UnitsTable[[#This Row],[Licensed Psychiatric Technician]]*CodeRatesTable[[#This Row],[Licensed Psychiatric Technician]]</f>
        <v>0</v>
      </c>
      <c r="L14" s="6">
        <f>UnitsTable[[#This Row],[Psychologist/Pre-licensed Psychologist]]*CodeRatesTable[[#This Row],[Psychologist/Pre-licensed Psychologist]]</f>
        <v>0</v>
      </c>
      <c r="M14" s="6">
        <f>UnitsTable[[#This Row],[LPHA (MFT  LCSW  LPCC)/ Intern or Waivered LPHA (MFT  LCSW  LPCC)]]*CodeRatesTable[[#This Row],[LPHA (MFT  LCSW  LPCC)/ Intern or Waivered LPHA (MFT  LCSW  LPCC)]]</f>
        <v>0</v>
      </c>
      <c r="N14" s="6">
        <f>UnitsTable[[#This Row],[Occupational Therapist]]*CodeRatesTable[[#This Row],[Occupational Therapist]]</f>
        <v>0</v>
      </c>
      <c r="O14" s="6">
        <f>UnitsTable[[#This Row],[Mental Health Rehab Specialist]]*CodeRatesTable[[#This Row],[Mental Health Rehab Specialist]]</f>
        <v>0</v>
      </c>
      <c r="P14" s="6">
        <f>UnitsTable[[#This Row],[Peer Recovery Specialist]]*CodeRatesTable[[#This Row],[Peer Recovery Specialist]]</f>
        <v>0</v>
      </c>
      <c r="Q14" s="6">
        <f>UnitsTable[[#This Row],[Other Qualified Providers - Other Designated MH staff that bill medical]]*CodeRatesTable[[#This Row],[Other Qualified Providers - Other Designated MH staff that bill medical]]</f>
        <v>0</v>
      </c>
      <c r="R14" s="6">
        <f>SUM(RevenueTable[[#This Row],[Psychiatrist/ Contracted Psychiatrist]:[Other Qualified Providers - Other Designated MH staff that bill medical]])</f>
        <v>0</v>
      </c>
    </row>
    <row r="15" spans="1:18" x14ac:dyDescent="0.25">
      <c r="A15" s="6" t="str">
        <f>INDEX(CodeMinutesTable[Frequently Used],MATCH(RevenueTable[[#This Row],[Billing Code]],CodeMinutesTable[Code],0))</f>
        <v>Yes</v>
      </c>
      <c r="B15" s="3" t="s">
        <v>65</v>
      </c>
      <c r="C15" t="s">
        <v>66</v>
      </c>
      <c r="D15" s="6">
        <f>UnitsTable[[#This Row],[Psychiatrist/ Contracted Psychiatrist]]*CodeRatesTable[[#This Row],[Psychiatrist/ Contracted Psychiatrist]]</f>
        <v>0</v>
      </c>
      <c r="E15" s="6">
        <f>UnitsTable[[#This Row],[Physicians Assistant]]*CodeRatesTable[[#This Row],[Physicians Assistant]]</f>
        <v>0</v>
      </c>
      <c r="F15" s="6">
        <f>UnitsTable[[#This Row],[Nurse Practitioner]]*CodeRatesTable[[#This Row],[Nurse Practitioner]]</f>
        <v>0</v>
      </c>
      <c r="G15" s="6">
        <f>UnitsTable[[#This Row],[RN]]*CodeRatesTable[[#This Row],[RN]]</f>
        <v>0</v>
      </c>
      <c r="H15" s="6">
        <f>UnitsTable[[#This Row],[Certified Nurse Specialist]]*CodeRatesTable[[#This Row],[Certified Nurse Specialist]]</f>
        <v>0</v>
      </c>
      <c r="I15" s="6">
        <f>UnitsTable[[#This Row],[LVN]]*CodeRatesTable[[#This Row],[LVN]]</f>
        <v>0</v>
      </c>
      <c r="J15" s="6">
        <f>UnitsTable[[#This Row],[Pharmacist]]*CodeRatesTable[[#This Row],[Pharmacist]]</f>
        <v>0</v>
      </c>
      <c r="K15" s="6">
        <f>UnitsTable[[#This Row],[Licensed Psychiatric Technician]]*CodeRatesTable[[#This Row],[Licensed Psychiatric Technician]]</f>
        <v>0</v>
      </c>
      <c r="L15" s="6">
        <f>UnitsTable[[#This Row],[Psychologist/Pre-licensed Psychologist]]*CodeRatesTable[[#This Row],[Psychologist/Pre-licensed Psychologist]]</f>
        <v>0</v>
      </c>
      <c r="M15" s="6">
        <f>UnitsTable[[#This Row],[LPHA (MFT  LCSW  LPCC)/ Intern or Waivered LPHA (MFT  LCSW  LPCC)]]*CodeRatesTable[[#This Row],[LPHA (MFT  LCSW  LPCC)/ Intern or Waivered LPHA (MFT  LCSW  LPCC)]]</f>
        <v>0</v>
      </c>
      <c r="N15" s="6">
        <f>UnitsTable[[#This Row],[Occupational Therapist]]*CodeRatesTable[[#This Row],[Occupational Therapist]]</f>
        <v>0</v>
      </c>
      <c r="O15" s="6">
        <f>UnitsTable[[#This Row],[Mental Health Rehab Specialist]]*CodeRatesTable[[#This Row],[Mental Health Rehab Specialist]]</f>
        <v>0</v>
      </c>
      <c r="P15" s="6">
        <f>UnitsTable[[#This Row],[Peer Recovery Specialist]]*CodeRatesTable[[#This Row],[Peer Recovery Specialist]]</f>
        <v>0</v>
      </c>
      <c r="Q15" s="6">
        <f>UnitsTable[[#This Row],[Other Qualified Providers - Other Designated MH staff that bill medical]]*CodeRatesTable[[#This Row],[Other Qualified Providers - Other Designated MH staff that bill medical]]</f>
        <v>0</v>
      </c>
      <c r="R15" s="6">
        <f>SUM(RevenueTable[[#This Row],[Psychiatrist/ Contracted Psychiatrist]:[Other Qualified Providers - Other Designated MH staff that bill medical]])</f>
        <v>0</v>
      </c>
    </row>
    <row r="16" spans="1:18" x14ac:dyDescent="0.25">
      <c r="A16" s="6" t="str">
        <f>INDEX(CodeMinutesTable[Frequently Used],MATCH(RevenueTable[[#This Row],[Billing Code]],CodeMinutesTable[Code],0))</f>
        <v>Yes</v>
      </c>
      <c r="B16" s="3" t="s">
        <v>67</v>
      </c>
      <c r="C16" t="s">
        <v>68</v>
      </c>
      <c r="D16" s="6">
        <f>UnitsTable[[#This Row],[Psychiatrist/ Contracted Psychiatrist]]*CodeRatesTable[[#This Row],[Psychiatrist/ Contracted Psychiatrist]]</f>
        <v>0</v>
      </c>
      <c r="E16" s="6">
        <f>UnitsTable[[#This Row],[Physicians Assistant]]*CodeRatesTable[[#This Row],[Physicians Assistant]]</f>
        <v>0</v>
      </c>
      <c r="F16" s="6">
        <f>UnitsTable[[#This Row],[Nurse Practitioner]]*CodeRatesTable[[#This Row],[Nurse Practitioner]]</f>
        <v>0</v>
      </c>
      <c r="G16" s="6">
        <f>UnitsTable[[#This Row],[RN]]*CodeRatesTable[[#This Row],[RN]]</f>
        <v>0</v>
      </c>
      <c r="H16" s="6">
        <f>UnitsTable[[#This Row],[Certified Nurse Specialist]]*CodeRatesTable[[#This Row],[Certified Nurse Specialist]]</f>
        <v>0</v>
      </c>
      <c r="I16" s="6">
        <f>UnitsTable[[#This Row],[LVN]]*CodeRatesTable[[#This Row],[LVN]]</f>
        <v>0</v>
      </c>
      <c r="J16" s="6">
        <f>UnitsTable[[#This Row],[Pharmacist]]*CodeRatesTable[[#This Row],[Pharmacist]]</f>
        <v>0</v>
      </c>
      <c r="K16" s="6">
        <f>UnitsTable[[#This Row],[Licensed Psychiatric Technician]]*CodeRatesTable[[#This Row],[Licensed Psychiatric Technician]]</f>
        <v>0</v>
      </c>
      <c r="L16" s="6">
        <f>UnitsTable[[#This Row],[Psychologist/Pre-licensed Psychologist]]*CodeRatesTable[[#This Row],[Psychologist/Pre-licensed Psychologist]]</f>
        <v>0</v>
      </c>
      <c r="M16" s="6">
        <f>UnitsTable[[#This Row],[LPHA (MFT  LCSW  LPCC)/ Intern or Waivered LPHA (MFT  LCSW  LPCC)]]*CodeRatesTable[[#This Row],[LPHA (MFT  LCSW  LPCC)/ Intern or Waivered LPHA (MFT  LCSW  LPCC)]]</f>
        <v>0</v>
      </c>
      <c r="N16" s="6">
        <f>UnitsTable[[#This Row],[Occupational Therapist]]*CodeRatesTable[[#This Row],[Occupational Therapist]]</f>
        <v>0</v>
      </c>
      <c r="O16" s="6">
        <f>UnitsTable[[#This Row],[Mental Health Rehab Specialist]]*CodeRatesTable[[#This Row],[Mental Health Rehab Specialist]]</f>
        <v>0</v>
      </c>
      <c r="P16" s="6">
        <f>UnitsTable[[#This Row],[Peer Recovery Specialist]]*CodeRatesTable[[#This Row],[Peer Recovery Specialist]]</f>
        <v>0</v>
      </c>
      <c r="Q16" s="6">
        <f>UnitsTable[[#This Row],[Other Qualified Providers - Other Designated MH staff that bill medical]]*CodeRatesTable[[#This Row],[Other Qualified Providers - Other Designated MH staff that bill medical]]</f>
        <v>0</v>
      </c>
      <c r="R16" s="6">
        <f>SUM(RevenueTable[[#This Row],[Psychiatrist/ Contracted Psychiatrist]:[Other Qualified Providers - Other Designated MH staff that bill medical]])</f>
        <v>0</v>
      </c>
    </row>
    <row r="17" spans="1:18" hidden="1" x14ac:dyDescent="0.25">
      <c r="A17" s="6" t="str">
        <f>INDEX(CodeMinutesTable[Frequently Used],MATCH(RevenueTable[[#This Row],[Billing Code]],CodeMinutesTable[Code],0))</f>
        <v>No</v>
      </c>
      <c r="B17" s="3" t="s">
        <v>69</v>
      </c>
      <c r="C17" t="s">
        <v>70</v>
      </c>
      <c r="D17" s="6">
        <f>UnitsTable[[#This Row],[Psychiatrist/ Contracted Psychiatrist]]*CodeRatesTable[[#This Row],[Psychiatrist/ Contracted Psychiatrist]]</f>
        <v>0</v>
      </c>
      <c r="E17" s="6">
        <f>UnitsTable[[#This Row],[Physicians Assistant]]*CodeRatesTable[[#This Row],[Physicians Assistant]]</f>
        <v>0</v>
      </c>
      <c r="F17" s="6">
        <f>UnitsTable[[#This Row],[Nurse Practitioner]]*CodeRatesTable[[#This Row],[Nurse Practitioner]]</f>
        <v>0</v>
      </c>
      <c r="G17" s="6">
        <f>UnitsTable[[#This Row],[RN]]*CodeRatesTable[[#This Row],[RN]]</f>
        <v>0</v>
      </c>
      <c r="H17" s="6">
        <f>UnitsTable[[#This Row],[Certified Nurse Specialist]]*CodeRatesTable[[#This Row],[Certified Nurse Specialist]]</f>
        <v>0</v>
      </c>
      <c r="I17" s="6">
        <f>UnitsTable[[#This Row],[LVN]]*CodeRatesTable[[#This Row],[LVN]]</f>
        <v>0</v>
      </c>
      <c r="J17" s="6">
        <f>UnitsTable[[#This Row],[Pharmacist]]*CodeRatesTable[[#This Row],[Pharmacist]]</f>
        <v>0</v>
      </c>
      <c r="K17" s="6">
        <f>UnitsTable[[#This Row],[Licensed Psychiatric Technician]]*CodeRatesTable[[#This Row],[Licensed Psychiatric Technician]]</f>
        <v>0</v>
      </c>
      <c r="L17" s="6">
        <f>UnitsTable[[#This Row],[Psychologist/Pre-licensed Psychologist]]*CodeRatesTable[[#This Row],[Psychologist/Pre-licensed Psychologist]]</f>
        <v>0</v>
      </c>
      <c r="M17" s="6">
        <f>UnitsTable[[#This Row],[LPHA (MFT  LCSW  LPCC)/ Intern or Waivered LPHA (MFT  LCSW  LPCC)]]*CodeRatesTable[[#This Row],[LPHA (MFT  LCSW  LPCC)/ Intern or Waivered LPHA (MFT  LCSW  LPCC)]]</f>
        <v>0</v>
      </c>
      <c r="N17" s="6">
        <f>UnitsTable[[#This Row],[Occupational Therapist]]*CodeRatesTable[[#This Row],[Occupational Therapist]]</f>
        <v>0</v>
      </c>
      <c r="O17" s="6">
        <f>UnitsTable[[#This Row],[Mental Health Rehab Specialist]]*CodeRatesTable[[#This Row],[Mental Health Rehab Specialist]]</f>
        <v>0</v>
      </c>
      <c r="P17" s="6">
        <f>UnitsTable[[#This Row],[Peer Recovery Specialist]]*CodeRatesTable[[#This Row],[Peer Recovery Specialist]]</f>
        <v>0</v>
      </c>
      <c r="Q17" s="6">
        <f>UnitsTable[[#This Row],[Other Qualified Providers - Other Designated MH staff that bill medical]]*CodeRatesTable[[#This Row],[Other Qualified Providers - Other Designated MH staff that bill medical]]</f>
        <v>0</v>
      </c>
      <c r="R17" s="6">
        <f>SUM(RevenueTable[[#This Row],[Psychiatrist/ Contracted Psychiatrist]:[Other Qualified Providers - Other Designated MH staff that bill medical]])</f>
        <v>0</v>
      </c>
    </row>
    <row r="18" spans="1:18" hidden="1" x14ac:dyDescent="0.25">
      <c r="A18" s="6" t="str">
        <f>INDEX(CodeMinutesTable[Frequently Used],MATCH(RevenueTable[[#This Row],[Billing Code]],CodeMinutesTable[Code],0))</f>
        <v>No</v>
      </c>
      <c r="B18" s="3" t="s">
        <v>71</v>
      </c>
      <c r="C18" t="s">
        <v>72</v>
      </c>
      <c r="D18" s="6">
        <f>UnitsTable[[#This Row],[Psychiatrist/ Contracted Psychiatrist]]*CodeRatesTable[[#This Row],[Psychiatrist/ Contracted Psychiatrist]]</f>
        <v>0</v>
      </c>
      <c r="E18" s="6">
        <f>UnitsTable[[#This Row],[Physicians Assistant]]*CodeRatesTable[[#This Row],[Physicians Assistant]]</f>
        <v>0</v>
      </c>
      <c r="F18" s="6">
        <f>UnitsTable[[#This Row],[Nurse Practitioner]]*CodeRatesTable[[#This Row],[Nurse Practitioner]]</f>
        <v>0</v>
      </c>
      <c r="G18" s="6">
        <f>UnitsTable[[#This Row],[RN]]*CodeRatesTable[[#This Row],[RN]]</f>
        <v>0</v>
      </c>
      <c r="H18" s="6">
        <f>UnitsTable[[#This Row],[Certified Nurse Specialist]]*CodeRatesTable[[#This Row],[Certified Nurse Specialist]]</f>
        <v>0</v>
      </c>
      <c r="I18" s="6">
        <f>UnitsTable[[#This Row],[LVN]]*CodeRatesTable[[#This Row],[LVN]]</f>
        <v>0</v>
      </c>
      <c r="J18" s="6">
        <f>UnitsTable[[#This Row],[Pharmacist]]*CodeRatesTable[[#This Row],[Pharmacist]]</f>
        <v>0</v>
      </c>
      <c r="K18" s="6">
        <f>UnitsTable[[#This Row],[Licensed Psychiatric Technician]]*CodeRatesTable[[#This Row],[Licensed Psychiatric Technician]]</f>
        <v>0</v>
      </c>
      <c r="L18" s="6">
        <f>UnitsTable[[#This Row],[Psychologist/Pre-licensed Psychologist]]*CodeRatesTable[[#This Row],[Psychologist/Pre-licensed Psychologist]]</f>
        <v>0</v>
      </c>
      <c r="M18" s="6">
        <f>UnitsTable[[#This Row],[LPHA (MFT  LCSW  LPCC)/ Intern or Waivered LPHA (MFT  LCSW  LPCC)]]*CodeRatesTable[[#This Row],[LPHA (MFT  LCSW  LPCC)/ Intern or Waivered LPHA (MFT  LCSW  LPCC)]]</f>
        <v>0</v>
      </c>
      <c r="N18" s="6">
        <f>UnitsTable[[#This Row],[Occupational Therapist]]*CodeRatesTable[[#This Row],[Occupational Therapist]]</f>
        <v>0</v>
      </c>
      <c r="O18" s="6">
        <f>UnitsTable[[#This Row],[Mental Health Rehab Specialist]]*CodeRatesTable[[#This Row],[Mental Health Rehab Specialist]]</f>
        <v>0</v>
      </c>
      <c r="P18" s="6">
        <f>UnitsTable[[#This Row],[Peer Recovery Specialist]]*CodeRatesTable[[#This Row],[Peer Recovery Specialist]]</f>
        <v>0</v>
      </c>
      <c r="Q18" s="6">
        <f>UnitsTable[[#This Row],[Other Qualified Providers - Other Designated MH staff that bill medical]]*CodeRatesTable[[#This Row],[Other Qualified Providers - Other Designated MH staff that bill medical]]</f>
        <v>0</v>
      </c>
      <c r="R18" s="6">
        <f>SUM(RevenueTable[[#This Row],[Psychiatrist/ Contracted Psychiatrist]:[Other Qualified Providers - Other Designated MH staff that bill medical]])</f>
        <v>0</v>
      </c>
    </row>
    <row r="19" spans="1:18" hidden="1" x14ac:dyDescent="0.25">
      <c r="A19" s="6" t="str">
        <f>INDEX(CodeMinutesTable[Frequently Used],MATCH(RevenueTable[[#This Row],[Billing Code]],CodeMinutesTable[Code],0))</f>
        <v>No</v>
      </c>
      <c r="B19" s="3" t="s">
        <v>73</v>
      </c>
      <c r="C19" t="s">
        <v>74</v>
      </c>
      <c r="D19" s="6">
        <f>UnitsTable[[#This Row],[Psychiatrist/ Contracted Psychiatrist]]*CodeRatesTable[[#This Row],[Psychiatrist/ Contracted Psychiatrist]]</f>
        <v>0</v>
      </c>
      <c r="E19" s="6">
        <f>UnitsTable[[#This Row],[Physicians Assistant]]*CodeRatesTable[[#This Row],[Physicians Assistant]]</f>
        <v>0</v>
      </c>
      <c r="F19" s="6">
        <f>UnitsTable[[#This Row],[Nurse Practitioner]]*CodeRatesTable[[#This Row],[Nurse Practitioner]]</f>
        <v>0</v>
      </c>
      <c r="G19" s="6">
        <f>UnitsTable[[#This Row],[RN]]*CodeRatesTable[[#This Row],[RN]]</f>
        <v>0</v>
      </c>
      <c r="H19" s="6">
        <f>UnitsTable[[#This Row],[Certified Nurse Specialist]]*CodeRatesTable[[#This Row],[Certified Nurse Specialist]]</f>
        <v>0</v>
      </c>
      <c r="I19" s="6">
        <f>UnitsTable[[#This Row],[LVN]]*CodeRatesTable[[#This Row],[LVN]]</f>
        <v>0</v>
      </c>
      <c r="J19" s="6">
        <f>UnitsTable[[#This Row],[Pharmacist]]*CodeRatesTable[[#This Row],[Pharmacist]]</f>
        <v>0</v>
      </c>
      <c r="K19" s="6">
        <f>UnitsTable[[#This Row],[Licensed Psychiatric Technician]]*CodeRatesTable[[#This Row],[Licensed Psychiatric Technician]]</f>
        <v>0</v>
      </c>
      <c r="L19" s="6">
        <f>UnitsTable[[#This Row],[Psychologist/Pre-licensed Psychologist]]*CodeRatesTable[[#This Row],[Psychologist/Pre-licensed Psychologist]]</f>
        <v>0</v>
      </c>
      <c r="M19" s="6">
        <f>UnitsTable[[#This Row],[LPHA (MFT  LCSW  LPCC)/ Intern or Waivered LPHA (MFT  LCSW  LPCC)]]*CodeRatesTable[[#This Row],[LPHA (MFT  LCSW  LPCC)/ Intern or Waivered LPHA (MFT  LCSW  LPCC)]]</f>
        <v>0</v>
      </c>
      <c r="N19" s="6">
        <f>UnitsTable[[#This Row],[Occupational Therapist]]*CodeRatesTable[[#This Row],[Occupational Therapist]]</f>
        <v>0</v>
      </c>
      <c r="O19" s="6">
        <f>UnitsTable[[#This Row],[Mental Health Rehab Specialist]]*CodeRatesTable[[#This Row],[Mental Health Rehab Specialist]]</f>
        <v>0</v>
      </c>
      <c r="P19" s="6">
        <f>UnitsTable[[#This Row],[Peer Recovery Specialist]]*CodeRatesTable[[#This Row],[Peer Recovery Specialist]]</f>
        <v>0</v>
      </c>
      <c r="Q19" s="6">
        <f>UnitsTable[[#This Row],[Other Qualified Providers - Other Designated MH staff that bill medical]]*CodeRatesTable[[#This Row],[Other Qualified Providers - Other Designated MH staff that bill medical]]</f>
        <v>0</v>
      </c>
      <c r="R19" s="6">
        <f>SUM(RevenueTable[[#This Row],[Psychiatrist/ Contracted Psychiatrist]:[Other Qualified Providers - Other Designated MH staff that bill medical]])</f>
        <v>0</v>
      </c>
    </row>
    <row r="20" spans="1:18" hidden="1" x14ac:dyDescent="0.25">
      <c r="A20" s="6" t="str">
        <f>INDEX(CodeMinutesTable[Frequently Used],MATCH(RevenueTable[[#This Row],[Billing Code]],CodeMinutesTable[Code],0))</f>
        <v>No</v>
      </c>
      <c r="B20" s="3" t="s">
        <v>75</v>
      </c>
      <c r="C20" t="s">
        <v>76</v>
      </c>
      <c r="D20" s="6">
        <f>UnitsTable[[#This Row],[Psychiatrist/ Contracted Psychiatrist]]*CodeRatesTable[[#This Row],[Psychiatrist/ Contracted Psychiatrist]]</f>
        <v>0</v>
      </c>
      <c r="E20" s="6">
        <f>UnitsTable[[#This Row],[Physicians Assistant]]*CodeRatesTable[[#This Row],[Physicians Assistant]]</f>
        <v>0</v>
      </c>
      <c r="F20" s="6">
        <f>UnitsTable[[#This Row],[Nurse Practitioner]]*CodeRatesTable[[#This Row],[Nurse Practitioner]]</f>
        <v>0</v>
      </c>
      <c r="G20" s="6">
        <f>UnitsTable[[#This Row],[RN]]*CodeRatesTable[[#This Row],[RN]]</f>
        <v>0</v>
      </c>
      <c r="H20" s="6">
        <f>UnitsTable[[#This Row],[Certified Nurse Specialist]]*CodeRatesTable[[#This Row],[Certified Nurse Specialist]]</f>
        <v>0</v>
      </c>
      <c r="I20" s="6">
        <f>UnitsTable[[#This Row],[LVN]]*CodeRatesTable[[#This Row],[LVN]]</f>
        <v>0</v>
      </c>
      <c r="J20" s="6">
        <f>UnitsTable[[#This Row],[Pharmacist]]*CodeRatesTable[[#This Row],[Pharmacist]]</f>
        <v>0</v>
      </c>
      <c r="K20" s="6">
        <f>UnitsTable[[#This Row],[Licensed Psychiatric Technician]]*CodeRatesTable[[#This Row],[Licensed Psychiatric Technician]]</f>
        <v>0</v>
      </c>
      <c r="L20" s="6">
        <f>UnitsTable[[#This Row],[Psychologist/Pre-licensed Psychologist]]*CodeRatesTable[[#This Row],[Psychologist/Pre-licensed Psychologist]]</f>
        <v>0</v>
      </c>
      <c r="M20" s="6">
        <f>UnitsTable[[#This Row],[LPHA (MFT  LCSW  LPCC)/ Intern or Waivered LPHA (MFT  LCSW  LPCC)]]*CodeRatesTable[[#This Row],[LPHA (MFT  LCSW  LPCC)/ Intern or Waivered LPHA (MFT  LCSW  LPCC)]]</f>
        <v>0</v>
      </c>
      <c r="N20" s="6">
        <f>UnitsTable[[#This Row],[Occupational Therapist]]*CodeRatesTable[[#This Row],[Occupational Therapist]]</f>
        <v>0</v>
      </c>
      <c r="O20" s="6">
        <f>UnitsTable[[#This Row],[Mental Health Rehab Specialist]]*CodeRatesTable[[#This Row],[Mental Health Rehab Specialist]]</f>
        <v>0</v>
      </c>
      <c r="P20" s="6">
        <f>UnitsTable[[#This Row],[Peer Recovery Specialist]]*CodeRatesTable[[#This Row],[Peer Recovery Specialist]]</f>
        <v>0</v>
      </c>
      <c r="Q20" s="6">
        <f>UnitsTable[[#This Row],[Other Qualified Providers - Other Designated MH staff that bill medical]]*CodeRatesTable[[#This Row],[Other Qualified Providers - Other Designated MH staff that bill medical]]</f>
        <v>0</v>
      </c>
      <c r="R20" s="6">
        <f>SUM(RevenueTable[[#This Row],[Psychiatrist/ Contracted Psychiatrist]:[Other Qualified Providers - Other Designated MH staff that bill medical]])</f>
        <v>0</v>
      </c>
    </row>
    <row r="21" spans="1:18" hidden="1" x14ac:dyDescent="0.25">
      <c r="A21" s="6" t="str">
        <f>INDEX(CodeMinutesTable[Frequently Used],MATCH(RevenueTable[[#This Row],[Billing Code]],CodeMinutesTable[Code],0))</f>
        <v>No</v>
      </c>
      <c r="B21" s="3" t="s">
        <v>77</v>
      </c>
      <c r="C21" t="s">
        <v>78</v>
      </c>
      <c r="D21" s="6">
        <f>UnitsTable[[#This Row],[Psychiatrist/ Contracted Psychiatrist]]*CodeRatesTable[[#This Row],[Psychiatrist/ Contracted Psychiatrist]]</f>
        <v>0</v>
      </c>
      <c r="E21" s="6">
        <f>UnitsTable[[#This Row],[Physicians Assistant]]*CodeRatesTable[[#This Row],[Physicians Assistant]]</f>
        <v>0</v>
      </c>
      <c r="F21" s="6">
        <f>UnitsTable[[#This Row],[Nurse Practitioner]]*CodeRatesTable[[#This Row],[Nurse Practitioner]]</f>
        <v>0</v>
      </c>
      <c r="G21" s="6">
        <f>UnitsTable[[#This Row],[RN]]*CodeRatesTable[[#This Row],[RN]]</f>
        <v>0</v>
      </c>
      <c r="H21" s="6">
        <f>UnitsTable[[#This Row],[Certified Nurse Specialist]]*CodeRatesTable[[#This Row],[Certified Nurse Specialist]]</f>
        <v>0</v>
      </c>
      <c r="I21" s="6">
        <f>UnitsTable[[#This Row],[LVN]]*CodeRatesTable[[#This Row],[LVN]]</f>
        <v>0</v>
      </c>
      <c r="J21" s="6">
        <f>UnitsTable[[#This Row],[Pharmacist]]*CodeRatesTable[[#This Row],[Pharmacist]]</f>
        <v>0</v>
      </c>
      <c r="K21" s="6">
        <f>UnitsTable[[#This Row],[Licensed Psychiatric Technician]]*CodeRatesTable[[#This Row],[Licensed Psychiatric Technician]]</f>
        <v>0</v>
      </c>
      <c r="L21" s="6">
        <f>UnitsTable[[#This Row],[Psychologist/Pre-licensed Psychologist]]*CodeRatesTable[[#This Row],[Psychologist/Pre-licensed Psychologist]]</f>
        <v>0</v>
      </c>
      <c r="M21" s="6">
        <f>UnitsTable[[#This Row],[LPHA (MFT  LCSW  LPCC)/ Intern or Waivered LPHA (MFT  LCSW  LPCC)]]*CodeRatesTable[[#This Row],[LPHA (MFT  LCSW  LPCC)/ Intern or Waivered LPHA (MFT  LCSW  LPCC)]]</f>
        <v>0</v>
      </c>
      <c r="N21" s="6">
        <f>UnitsTable[[#This Row],[Occupational Therapist]]*CodeRatesTable[[#This Row],[Occupational Therapist]]</f>
        <v>0</v>
      </c>
      <c r="O21" s="6">
        <f>UnitsTable[[#This Row],[Mental Health Rehab Specialist]]*CodeRatesTable[[#This Row],[Mental Health Rehab Specialist]]</f>
        <v>0</v>
      </c>
      <c r="P21" s="6">
        <f>UnitsTable[[#This Row],[Peer Recovery Specialist]]*CodeRatesTable[[#This Row],[Peer Recovery Specialist]]</f>
        <v>0</v>
      </c>
      <c r="Q21" s="6">
        <f>UnitsTable[[#This Row],[Other Qualified Providers - Other Designated MH staff that bill medical]]*CodeRatesTable[[#This Row],[Other Qualified Providers - Other Designated MH staff that bill medical]]</f>
        <v>0</v>
      </c>
      <c r="R21" s="6">
        <f>SUM(RevenueTable[[#This Row],[Psychiatrist/ Contracted Psychiatrist]:[Other Qualified Providers - Other Designated MH staff that bill medical]])</f>
        <v>0</v>
      </c>
    </row>
    <row r="22" spans="1:18" hidden="1" x14ac:dyDescent="0.25">
      <c r="A22" s="6" t="str">
        <f>INDEX(CodeMinutesTable[Frequently Used],MATCH(RevenueTable[[#This Row],[Billing Code]],CodeMinutesTable[Code],0))</f>
        <v>No</v>
      </c>
      <c r="B22" s="3" t="s">
        <v>79</v>
      </c>
      <c r="C22" t="s">
        <v>80</v>
      </c>
      <c r="D22" s="6">
        <f>UnitsTable[[#This Row],[Psychiatrist/ Contracted Psychiatrist]]*CodeRatesTable[[#This Row],[Psychiatrist/ Contracted Psychiatrist]]</f>
        <v>0</v>
      </c>
      <c r="E22" s="6">
        <f>UnitsTable[[#This Row],[Physicians Assistant]]*CodeRatesTable[[#This Row],[Physicians Assistant]]</f>
        <v>0</v>
      </c>
      <c r="F22" s="6">
        <f>UnitsTable[[#This Row],[Nurse Practitioner]]*CodeRatesTable[[#This Row],[Nurse Practitioner]]</f>
        <v>0</v>
      </c>
      <c r="G22" s="6">
        <f>UnitsTable[[#This Row],[RN]]*CodeRatesTable[[#This Row],[RN]]</f>
        <v>0</v>
      </c>
      <c r="H22" s="6">
        <f>UnitsTable[[#This Row],[Certified Nurse Specialist]]*CodeRatesTable[[#This Row],[Certified Nurse Specialist]]</f>
        <v>0</v>
      </c>
      <c r="I22" s="6">
        <f>UnitsTable[[#This Row],[LVN]]*CodeRatesTable[[#This Row],[LVN]]</f>
        <v>0</v>
      </c>
      <c r="J22" s="6">
        <f>UnitsTable[[#This Row],[Pharmacist]]*CodeRatesTable[[#This Row],[Pharmacist]]</f>
        <v>0</v>
      </c>
      <c r="K22" s="6">
        <f>UnitsTable[[#This Row],[Licensed Psychiatric Technician]]*CodeRatesTable[[#This Row],[Licensed Psychiatric Technician]]</f>
        <v>0</v>
      </c>
      <c r="L22" s="6">
        <f>UnitsTable[[#This Row],[Psychologist/Pre-licensed Psychologist]]*CodeRatesTable[[#This Row],[Psychologist/Pre-licensed Psychologist]]</f>
        <v>0</v>
      </c>
      <c r="M22" s="6">
        <f>UnitsTable[[#This Row],[LPHA (MFT  LCSW  LPCC)/ Intern or Waivered LPHA (MFT  LCSW  LPCC)]]*CodeRatesTable[[#This Row],[LPHA (MFT  LCSW  LPCC)/ Intern or Waivered LPHA (MFT  LCSW  LPCC)]]</f>
        <v>0</v>
      </c>
      <c r="N22" s="6">
        <f>UnitsTable[[#This Row],[Occupational Therapist]]*CodeRatesTable[[#This Row],[Occupational Therapist]]</f>
        <v>0</v>
      </c>
      <c r="O22" s="6">
        <f>UnitsTable[[#This Row],[Mental Health Rehab Specialist]]*CodeRatesTable[[#This Row],[Mental Health Rehab Specialist]]</f>
        <v>0</v>
      </c>
      <c r="P22" s="6">
        <f>UnitsTable[[#This Row],[Peer Recovery Specialist]]*CodeRatesTable[[#This Row],[Peer Recovery Specialist]]</f>
        <v>0</v>
      </c>
      <c r="Q22" s="6">
        <f>UnitsTable[[#This Row],[Other Qualified Providers - Other Designated MH staff that bill medical]]*CodeRatesTable[[#This Row],[Other Qualified Providers - Other Designated MH staff that bill medical]]</f>
        <v>0</v>
      </c>
      <c r="R22" s="6">
        <f>SUM(RevenueTable[[#This Row],[Psychiatrist/ Contracted Psychiatrist]:[Other Qualified Providers - Other Designated MH staff that bill medical]])</f>
        <v>0</v>
      </c>
    </row>
    <row r="23" spans="1:18" x14ac:dyDescent="0.25">
      <c r="A23" s="6" t="str">
        <f>INDEX(CodeMinutesTable[Frequently Used],MATCH(RevenueTable[[#This Row],[Billing Code]],CodeMinutesTable[Code],0))</f>
        <v>Yes</v>
      </c>
      <c r="B23" s="3" t="s">
        <v>81</v>
      </c>
      <c r="C23" t="s">
        <v>82</v>
      </c>
      <c r="D23" s="6">
        <f>UnitsTable[[#This Row],[Psychiatrist/ Contracted Psychiatrist]]*CodeRatesTable[[#This Row],[Psychiatrist/ Contracted Psychiatrist]]</f>
        <v>0</v>
      </c>
      <c r="E23" s="6">
        <f>UnitsTable[[#This Row],[Physicians Assistant]]*CodeRatesTable[[#This Row],[Physicians Assistant]]</f>
        <v>0</v>
      </c>
      <c r="F23" s="6">
        <f>UnitsTable[[#This Row],[Nurse Practitioner]]*CodeRatesTable[[#This Row],[Nurse Practitioner]]</f>
        <v>0</v>
      </c>
      <c r="G23" s="6">
        <f>UnitsTable[[#This Row],[RN]]*CodeRatesTable[[#This Row],[RN]]</f>
        <v>0</v>
      </c>
      <c r="H23" s="6">
        <f>UnitsTable[[#This Row],[Certified Nurse Specialist]]*CodeRatesTable[[#This Row],[Certified Nurse Specialist]]</f>
        <v>0</v>
      </c>
      <c r="I23" s="6">
        <f>UnitsTable[[#This Row],[LVN]]*CodeRatesTable[[#This Row],[LVN]]</f>
        <v>0</v>
      </c>
      <c r="J23" s="6">
        <f>UnitsTable[[#This Row],[Pharmacist]]*CodeRatesTable[[#This Row],[Pharmacist]]</f>
        <v>0</v>
      </c>
      <c r="K23" s="6">
        <f>UnitsTable[[#This Row],[Licensed Psychiatric Technician]]*CodeRatesTable[[#This Row],[Licensed Psychiatric Technician]]</f>
        <v>0</v>
      </c>
      <c r="L23" s="6">
        <f>UnitsTable[[#This Row],[Psychologist/Pre-licensed Psychologist]]*CodeRatesTable[[#This Row],[Psychologist/Pre-licensed Psychologist]]</f>
        <v>0</v>
      </c>
      <c r="M23" s="6">
        <f>UnitsTable[[#This Row],[LPHA (MFT  LCSW  LPCC)/ Intern or Waivered LPHA (MFT  LCSW  LPCC)]]*CodeRatesTable[[#This Row],[LPHA (MFT  LCSW  LPCC)/ Intern or Waivered LPHA (MFT  LCSW  LPCC)]]</f>
        <v>0</v>
      </c>
      <c r="N23" s="6">
        <f>UnitsTable[[#This Row],[Occupational Therapist]]*CodeRatesTable[[#This Row],[Occupational Therapist]]</f>
        <v>0</v>
      </c>
      <c r="O23" s="6">
        <f>UnitsTable[[#This Row],[Mental Health Rehab Specialist]]*CodeRatesTable[[#This Row],[Mental Health Rehab Specialist]]</f>
        <v>0</v>
      </c>
      <c r="P23" s="6">
        <f>UnitsTable[[#This Row],[Peer Recovery Specialist]]*CodeRatesTable[[#This Row],[Peer Recovery Specialist]]</f>
        <v>0</v>
      </c>
      <c r="Q23" s="6">
        <f>UnitsTable[[#This Row],[Other Qualified Providers - Other Designated MH staff that bill medical]]*CodeRatesTable[[#This Row],[Other Qualified Providers - Other Designated MH staff that bill medical]]</f>
        <v>0</v>
      </c>
      <c r="R23" s="6">
        <f>SUM(RevenueTable[[#This Row],[Psychiatrist/ Contracted Psychiatrist]:[Other Qualified Providers - Other Designated MH staff that bill medical]])</f>
        <v>0</v>
      </c>
    </row>
    <row r="24" spans="1:18" x14ac:dyDescent="0.25">
      <c r="A24" s="6" t="str">
        <f>INDEX(CodeMinutesTable[Frequently Used],MATCH(RevenueTable[[#This Row],[Billing Code]],CodeMinutesTable[Code],0))</f>
        <v>Yes</v>
      </c>
      <c r="B24" s="3" t="s">
        <v>83</v>
      </c>
      <c r="C24" t="s">
        <v>84</v>
      </c>
      <c r="D24" s="6">
        <f>UnitsTable[[#This Row],[Psychiatrist/ Contracted Psychiatrist]]*CodeRatesTable[[#This Row],[Psychiatrist/ Contracted Psychiatrist]]</f>
        <v>0</v>
      </c>
      <c r="E24" s="6">
        <f>UnitsTable[[#This Row],[Physicians Assistant]]*CodeRatesTable[[#This Row],[Physicians Assistant]]</f>
        <v>0</v>
      </c>
      <c r="F24" s="6">
        <f>UnitsTable[[#This Row],[Nurse Practitioner]]*CodeRatesTable[[#This Row],[Nurse Practitioner]]</f>
        <v>0</v>
      </c>
      <c r="G24" s="6">
        <f>UnitsTable[[#This Row],[RN]]*CodeRatesTable[[#This Row],[RN]]</f>
        <v>0</v>
      </c>
      <c r="H24" s="6">
        <f>UnitsTable[[#This Row],[Certified Nurse Specialist]]*CodeRatesTable[[#This Row],[Certified Nurse Specialist]]</f>
        <v>0</v>
      </c>
      <c r="I24" s="6">
        <f>UnitsTable[[#This Row],[LVN]]*CodeRatesTable[[#This Row],[LVN]]</f>
        <v>0</v>
      </c>
      <c r="J24" s="6">
        <f>UnitsTable[[#This Row],[Pharmacist]]*CodeRatesTable[[#This Row],[Pharmacist]]</f>
        <v>0</v>
      </c>
      <c r="K24" s="6">
        <f>UnitsTable[[#This Row],[Licensed Psychiatric Technician]]*CodeRatesTable[[#This Row],[Licensed Psychiatric Technician]]</f>
        <v>0</v>
      </c>
      <c r="L24" s="6">
        <f>UnitsTable[[#This Row],[Psychologist/Pre-licensed Psychologist]]*CodeRatesTable[[#This Row],[Psychologist/Pre-licensed Psychologist]]</f>
        <v>0</v>
      </c>
      <c r="M24" s="6">
        <f>UnitsTable[[#This Row],[LPHA (MFT  LCSW  LPCC)/ Intern or Waivered LPHA (MFT  LCSW  LPCC)]]*CodeRatesTable[[#This Row],[LPHA (MFT  LCSW  LPCC)/ Intern or Waivered LPHA (MFT  LCSW  LPCC)]]</f>
        <v>0</v>
      </c>
      <c r="N24" s="6">
        <f>UnitsTable[[#This Row],[Occupational Therapist]]*CodeRatesTable[[#This Row],[Occupational Therapist]]</f>
        <v>0</v>
      </c>
      <c r="O24" s="6">
        <f>UnitsTable[[#This Row],[Mental Health Rehab Specialist]]*CodeRatesTable[[#This Row],[Mental Health Rehab Specialist]]</f>
        <v>0</v>
      </c>
      <c r="P24" s="6">
        <f>UnitsTable[[#This Row],[Peer Recovery Specialist]]*CodeRatesTable[[#This Row],[Peer Recovery Specialist]]</f>
        <v>0</v>
      </c>
      <c r="Q24" s="6">
        <f>UnitsTable[[#This Row],[Other Qualified Providers - Other Designated MH staff that bill medical]]*CodeRatesTable[[#This Row],[Other Qualified Providers - Other Designated MH staff that bill medical]]</f>
        <v>0</v>
      </c>
      <c r="R24" s="6">
        <f>SUM(RevenueTable[[#This Row],[Psychiatrist/ Contracted Psychiatrist]:[Other Qualified Providers - Other Designated MH staff that bill medical]])</f>
        <v>0</v>
      </c>
    </row>
    <row r="25" spans="1:18" hidden="1" x14ac:dyDescent="0.25">
      <c r="A25" s="6" t="str">
        <f>INDEX(CodeMinutesTable[Frequently Used],MATCH(RevenueTable[[#This Row],[Billing Code]],CodeMinutesTable[Code],0))</f>
        <v>No</v>
      </c>
      <c r="B25" s="3" t="s">
        <v>85</v>
      </c>
      <c r="C25" t="s">
        <v>86</v>
      </c>
      <c r="D25" s="6">
        <f>UnitsTable[[#This Row],[Psychiatrist/ Contracted Psychiatrist]]*CodeRatesTable[[#This Row],[Psychiatrist/ Contracted Psychiatrist]]</f>
        <v>0</v>
      </c>
      <c r="E25" s="6">
        <f>UnitsTable[[#This Row],[Physicians Assistant]]*CodeRatesTable[[#This Row],[Physicians Assistant]]</f>
        <v>0</v>
      </c>
      <c r="F25" s="6">
        <f>UnitsTable[[#This Row],[Nurse Practitioner]]*CodeRatesTable[[#This Row],[Nurse Practitioner]]</f>
        <v>0</v>
      </c>
      <c r="G25" s="6">
        <f>UnitsTable[[#This Row],[RN]]*CodeRatesTable[[#This Row],[RN]]</f>
        <v>0</v>
      </c>
      <c r="H25" s="6">
        <f>UnitsTable[[#This Row],[Certified Nurse Specialist]]*CodeRatesTable[[#This Row],[Certified Nurse Specialist]]</f>
        <v>0</v>
      </c>
      <c r="I25" s="6">
        <f>UnitsTable[[#This Row],[LVN]]*CodeRatesTable[[#This Row],[LVN]]</f>
        <v>0</v>
      </c>
      <c r="J25" s="6">
        <f>UnitsTable[[#This Row],[Pharmacist]]*CodeRatesTable[[#This Row],[Pharmacist]]</f>
        <v>0</v>
      </c>
      <c r="K25" s="6">
        <f>UnitsTable[[#This Row],[Licensed Psychiatric Technician]]*CodeRatesTable[[#This Row],[Licensed Psychiatric Technician]]</f>
        <v>0</v>
      </c>
      <c r="L25" s="6">
        <f>UnitsTable[[#This Row],[Psychologist/Pre-licensed Psychologist]]*CodeRatesTable[[#This Row],[Psychologist/Pre-licensed Psychologist]]</f>
        <v>0</v>
      </c>
      <c r="M25" s="6">
        <f>UnitsTable[[#This Row],[LPHA (MFT  LCSW  LPCC)/ Intern or Waivered LPHA (MFT  LCSW  LPCC)]]*CodeRatesTable[[#This Row],[LPHA (MFT  LCSW  LPCC)/ Intern or Waivered LPHA (MFT  LCSW  LPCC)]]</f>
        <v>0</v>
      </c>
      <c r="N25" s="6">
        <f>UnitsTable[[#This Row],[Occupational Therapist]]*CodeRatesTable[[#This Row],[Occupational Therapist]]</f>
        <v>0</v>
      </c>
      <c r="O25" s="6">
        <f>UnitsTable[[#This Row],[Mental Health Rehab Specialist]]*CodeRatesTable[[#This Row],[Mental Health Rehab Specialist]]</f>
        <v>0</v>
      </c>
      <c r="P25" s="6">
        <f>UnitsTable[[#This Row],[Peer Recovery Specialist]]*CodeRatesTable[[#This Row],[Peer Recovery Specialist]]</f>
        <v>0</v>
      </c>
      <c r="Q25" s="6">
        <f>UnitsTable[[#This Row],[Other Qualified Providers - Other Designated MH staff that bill medical]]*CodeRatesTable[[#This Row],[Other Qualified Providers - Other Designated MH staff that bill medical]]</f>
        <v>0</v>
      </c>
      <c r="R25" s="6">
        <f>SUM(RevenueTable[[#This Row],[Psychiatrist/ Contracted Psychiatrist]:[Other Qualified Providers - Other Designated MH staff that bill medical]])</f>
        <v>0</v>
      </c>
    </row>
    <row r="26" spans="1:18" hidden="1" x14ac:dyDescent="0.25">
      <c r="A26" s="6" t="str">
        <f>INDEX(CodeMinutesTable[Frequently Used],MATCH(RevenueTable[[#This Row],[Billing Code]],CodeMinutesTable[Code],0))</f>
        <v>No</v>
      </c>
      <c r="B26" s="3" t="s">
        <v>87</v>
      </c>
      <c r="C26" t="s">
        <v>88</v>
      </c>
      <c r="D26" s="6">
        <f>UnitsTable[[#This Row],[Psychiatrist/ Contracted Psychiatrist]]*CodeRatesTable[[#This Row],[Psychiatrist/ Contracted Psychiatrist]]</f>
        <v>0</v>
      </c>
      <c r="E26" s="6">
        <f>UnitsTable[[#This Row],[Physicians Assistant]]*CodeRatesTable[[#This Row],[Physicians Assistant]]</f>
        <v>0</v>
      </c>
      <c r="F26" s="6">
        <f>UnitsTable[[#This Row],[Nurse Practitioner]]*CodeRatesTable[[#This Row],[Nurse Practitioner]]</f>
        <v>0</v>
      </c>
      <c r="G26" s="6">
        <f>UnitsTable[[#This Row],[RN]]*CodeRatesTable[[#This Row],[RN]]</f>
        <v>0</v>
      </c>
      <c r="H26" s="6">
        <f>UnitsTable[[#This Row],[Certified Nurse Specialist]]*CodeRatesTable[[#This Row],[Certified Nurse Specialist]]</f>
        <v>0</v>
      </c>
      <c r="I26" s="6">
        <f>UnitsTable[[#This Row],[LVN]]*CodeRatesTable[[#This Row],[LVN]]</f>
        <v>0</v>
      </c>
      <c r="J26" s="6">
        <f>UnitsTable[[#This Row],[Pharmacist]]*CodeRatesTable[[#This Row],[Pharmacist]]</f>
        <v>0</v>
      </c>
      <c r="K26" s="6">
        <f>UnitsTable[[#This Row],[Licensed Psychiatric Technician]]*CodeRatesTable[[#This Row],[Licensed Psychiatric Technician]]</f>
        <v>0</v>
      </c>
      <c r="L26" s="6">
        <f>UnitsTable[[#This Row],[Psychologist/Pre-licensed Psychologist]]*CodeRatesTable[[#This Row],[Psychologist/Pre-licensed Psychologist]]</f>
        <v>0</v>
      </c>
      <c r="M26" s="6">
        <f>UnitsTable[[#This Row],[LPHA (MFT  LCSW  LPCC)/ Intern or Waivered LPHA (MFT  LCSW  LPCC)]]*CodeRatesTable[[#This Row],[LPHA (MFT  LCSW  LPCC)/ Intern or Waivered LPHA (MFT  LCSW  LPCC)]]</f>
        <v>0</v>
      </c>
      <c r="N26" s="6">
        <f>UnitsTable[[#This Row],[Occupational Therapist]]*CodeRatesTable[[#This Row],[Occupational Therapist]]</f>
        <v>0</v>
      </c>
      <c r="O26" s="6">
        <f>UnitsTable[[#This Row],[Mental Health Rehab Specialist]]*CodeRatesTable[[#This Row],[Mental Health Rehab Specialist]]</f>
        <v>0</v>
      </c>
      <c r="P26" s="6">
        <f>UnitsTable[[#This Row],[Peer Recovery Specialist]]*CodeRatesTable[[#This Row],[Peer Recovery Specialist]]</f>
        <v>0</v>
      </c>
      <c r="Q26" s="6">
        <f>UnitsTable[[#This Row],[Other Qualified Providers - Other Designated MH staff that bill medical]]*CodeRatesTable[[#This Row],[Other Qualified Providers - Other Designated MH staff that bill medical]]</f>
        <v>0</v>
      </c>
      <c r="R26" s="6">
        <f>SUM(RevenueTable[[#This Row],[Psychiatrist/ Contracted Psychiatrist]:[Other Qualified Providers - Other Designated MH staff that bill medical]])</f>
        <v>0</v>
      </c>
    </row>
    <row r="27" spans="1:18" hidden="1" x14ac:dyDescent="0.25">
      <c r="A27" s="6" t="str">
        <f>INDEX(CodeMinutesTable[Frequently Used],MATCH(RevenueTable[[#This Row],[Billing Code]],CodeMinutesTable[Code],0))</f>
        <v>No</v>
      </c>
      <c r="B27" s="3" t="s">
        <v>89</v>
      </c>
      <c r="C27" t="s">
        <v>90</v>
      </c>
      <c r="D27" s="6">
        <f>UnitsTable[[#This Row],[Psychiatrist/ Contracted Psychiatrist]]*CodeRatesTable[[#This Row],[Psychiatrist/ Contracted Psychiatrist]]</f>
        <v>0</v>
      </c>
      <c r="E27" s="6">
        <f>UnitsTable[[#This Row],[Physicians Assistant]]*CodeRatesTable[[#This Row],[Physicians Assistant]]</f>
        <v>0</v>
      </c>
      <c r="F27" s="6">
        <f>UnitsTable[[#This Row],[Nurse Practitioner]]*CodeRatesTable[[#This Row],[Nurse Practitioner]]</f>
        <v>0</v>
      </c>
      <c r="G27" s="6">
        <f>UnitsTable[[#This Row],[RN]]*CodeRatesTable[[#This Row],[RN]]</f>
        <v>0</v>
      </c>
      <c r="H27" s="6">
        <f>UnitsTable[[#This Row],[Certified Nurse Specialist]]*CodeRatesTable[[#This Row],[Certified Nurse Specialist]]</f>
        <v>0</v>
      </c>
      <c r="I27" s="6">
        <f>UnitsTable[[#This Row],[LVN]]*CodeRatesTable[[#This Row],[LVN]]</f>
        <v>0</v>
      </c>
      <c r="J27" s="6">
        <f>UnitsTable[[#This Row],[Pharmacist]]*CodeRatesTable[[#This Row],[Pharmacist]]</f>
        <v>0</v>
      </c>
      <c r="K27" s="6">
        <f>UnitsTable[[#This Row],[Licensed Psychiatric Technician]]*CodeRatesTable[[#This Row],[Licensed Psychiatric Technician]]</f>
        <v>0</v>
      </c>
      <c r="L27" s="6">
        <f>UnitsTable[[#This Row],[Psychologist/Pre-licensed Psychologist]]*CodeRatesTable[[#This Row],[Psychologist/Pre-licensed Psychologist]]</f>
        <v>0</v>
      </c>
      <c r="M27" s="6">
        <f>UnitsTable[[#This Row],[LPHA (MFT  LCSW  LPCC)/ Intern or Waivered LPHA (MFT  LCSW  LPCC)]]*CodeRatesTable[[#This Row],[LPHA (MFT  LCSW  LPCC)/ Intern or Waivered LPHA (MFT  LCSW  LPCC)]]</f>
        <v>0</v>
      </c>
      <c r="N27" s="6">
        <f>UnitsTable[[#This Row],[Occupational Therapist]]*CodeRatesTable[[#This Row],[Occupational Therapist]]</f>
        <v>0</v>
      </c>
      <c r="O27" s="6">
        <f>UnitsTable[[#This Row],[Mental Health Rehab Specialist]]*CodeRatesTable[[#This Row],[Mental Health Rehab Specialist]]</f>
        <v>0</v>
      </c>
      <c r="P27" s="6">
        <f>UnitsTable[[#This Row],[Peer Recovery Specialist]]*CodeRatesTable[[#This Row],[Peer Recovery Specialist]]</f>
        <v>0</v>
      </c>
      <c r="Q27" s="6">
        <f>UnitsTable[[#This Row],[Other Qualified Providers - Other Designated MH staff that bill medical]]*CodeRatesTable[[#This Row],[Other Qualified Providers - Other Designated MH staff that bill medical]]</f>
        <v>0</v>
      </c>
      <c r="R27" s="6">
        <f>SUM(RevenueTable[[#This Row],[Psychiatrist/ Contracted Psychiatrist]:[Other Qualified Providers - Other Designated MH staff that bill medical]])</f>
        <v>0</v>
      </c>
    </row>
    <row r="28" spans="1:18" hidden="1" x14ac:dyDescent="0.25">
      <c r="A28" s="6" t="str">
        <f>INDEX(CodeMinutesTable[Frequently Used],MATCH(RevenueTable[[#This Row],[Billing Code]],CodeMinutesTable[Code],0))</f>
        <v>No</v>
      </c>
      <c r="B28" s="3" t="s">
        <v>91</v>
      </c>
      <c r="C28" t="s">
        <v>92</v>
      </c>
      <c r="D28" s="6">
        <f>UnitsTable[[#This Row],[Psychiatrist/ Contracted Psychiatrist]]*CodeRatesTable[[#This Row],[Psychiatrist/ Contracted Psychiatrist]]</f>
        <v>0</v>
      </c>
      <c r="E28" s="6">
        <f>UnitsTable[[#This Row],[Physicians Assistant]]*CodeRatesTable[[#This Row],[Physicians Assistant]]</f>
        <v>0</v>
      </c>
      <c r="F28" s="6">
        <f>UnitsTable[[#This Row],[Nurse Practitioner]]*CodeRatesTable[[#This Row],[Nurse Practitioner]]</f>
        <v>0</v>
      </c>
      <c r="G28" s="6">
        <f>UnitsTable[[#This Row],[RN]]*CodeRatesTable[[#This Row],[RN]]</f>
        <v>0</v>
      </c>
      <c r="H28" s="6">
        <f>UnitsTable[[#This Row],[Certified Nurse Specialist]]*CodeRatesTable[[#This Row],[Certified Nurse Specialist]]</f>
        <v>0</v>
      </c>
      <c r="I28" s="6">
        <f>UnitsTable[[#This Row],[LVN]]*CodeRatesTable[[#This Row],[LVN]]</f>
        <v>0</v>
      </c>
      <c r="J28" s="6">
        <f>UnitsTable[[#This Row],[Pharmacist]]*CodeRatesTable[[#This Row],[Pharmacist]]</f>
        <v>0</v>
      </c>
      <c r="K28" s="6">
        <f>UnitsTable[[#This Row],[Licensed Psychiatric Technician]]*CodeRatesTable[[#This Row],[Licensed Psychiatric Technician]]</f>
        <v>0</v>
      </c>
      <c r="L28" s="6">
        <f>UnitsTable[[#This Row],[Psychologist/Pre-licensed Psychologist]]*CodeRatesTable[[#This Row],[Psychologist/Pre-licensed Psychologist]]</f>
        <v>0</v>
      </c>
      <c r="M28" s="6">
        <f>UnitsTable[[#This Row],[LPHA (MFT  LCSW  LPCC)/ Intern or Waivered LPHA (MFT  LCSW  LPCC)]]*CodeRatesTable[[#This Row],[LPHA (MFT  LCSW  LPCC)/ Intern or Waivered LPHA (MFT  LCSW  LPCC)]]</f>
        <v>0</v>
      </c>
      <c r="N28" s="6">
        <f>UnitsTable[[#This Row],[Occupational Therapist]]*CodeRatesTable[[#This Row],[Occupational Therapist]]</f>
        <v>0</v>
      </c>
      <c r="O28" s="6">
        <f>UnitsTable[[#This Row],[Mental Health Rehab Specialist]]*CodeRatesTable[[#This Row],[Mental Health Rehab Specialist]]</f>
        <v>0</v>
      </c>
      <c r="P28" s="6">
        <f>UnitsTable[[#This Row],[Peer Recovery Specialist]]*CodeRatesTable[[#This Row],[Peer Recovery Specialist]]</f>
        <v>0</v>
      </c>
      <c r="Q28" s="6">
        <f>UnitsTable[[#This Row],[Other Qualified Providers - Other Designated MH staff that bill medical]]*CodeRatesTable[[#This Row],[Other Qualified Providers - Other Designated MH staff that bill medical]]</f>
        <v>0</v>
      </c>
      <c r="R28" s="6">
        <f>SUM(RevenueTable[[#This Row],[Psychiatrist/ Contracted Psychiatrist]:[Other Qualified Providers - Other Designated MH staff that bill medical]])</f>
        <v>0</v>
      </c>
    </row>
    <row r="29" spans="1:18" hidden="1" x14ac:dyDescent="0.25">
      <c r="A29" s="6" t="str">
        <f>INDEX(CodeMinutesTable[Frequently Used],MATCH(RevenueTable[[#This Row],[Billing Code]],CodeMinutesTable[Code],0))</f>
        <v>No</v>
      </c>
      <c r="B29" s="3" t="s">
        <v>93</v>
      </c>
      <c r="C29" t="s">
        <v>94</v>
      </c>
      <c r="D29" s="6">
        <f>UnitsTable[[#This Row],[Psychiatrist/ Contracted Psychiatrist]]*CodeRatesTable[[#This Row],[Psychiatrist/ Contracted Psychiatrist]]</f>
        <v>0</v>
      </c>
      <c r="E29" s="6">
        <f>UnitsTable[[#This Row],[Physicians Assistant]]*CodeRatesTable[[#This Row],[Physicians Assistant]]</f>
        <v>0</v>
      </c>
      <c r="F29" s="6">
        <f>UnitsTable[[#This Row],[Nurse Practitioner]]*CodeRatesTable[[#This Row],[Nurse Practitioner]]</f>
        <v>0</v>
      </c>
      <c r="G29" s="6">
        <f>UnitsTable[[#This Row],[RN]]*CodeRatesTable[[#This Row],[RN]]</f>
        <v>0</v>
      </c>
      <c r="H29" s="6">
        <f>UnitsTable[[#This Row],[Certified Nurse Specialist]]*CodeRatesTable[[#This Row],[Certified Nurse Specialist]]</f>
        <v>0</v>
      </c>
      <c r="I29" s="6">
        <f>UnitsTable[[#This Row],[LVN]]*CodeRatesTable[[#This Row],[LVN]]</f>
        <v>0</v>
      </c>
      <c r="J29" s="6">
        <f>UnitsTable[[#This Row],[Pharmacist]]*CodeRatesTable[[#This Row],[Pharmacist]]</f>
        <v>0</v>
      </c>
      <c r="K29" s="6">
        <f>UnitsTable[[#This Row],[Licensed Psychiatric Technician]]*CodeRatesTable[[#This Row],[Licensed Psychiatric Technician]]</f>
        <v>0</v>
      </c>
      <c r="L29" s="6">
        <f>UnitsTable[[#This Row],[Psychologist/Pre-licensed Psychologist]]*CodeRatesTable[[#This Row],[Psychologist/Pre-licensed Psychologist]]</f>
        <v>0</v>
      </c>
      <c r="M29" s="6">
        <f>UnitsTable[[#This Row],[LPHA (MFT  LCSW  LPCC)/ Intern or Waivered LPHA (MFT  LCSW  LPCC)]]*CodeRatesTable[[#This Row],[LPHA (MFT  LCSW  LPCC)/ Intern or Waivered LPHA (MFT  LCSW  LPCC)]]</f>
        <v>0</v>
      </c>
      <c r="N29" s="6">
        <f>UnitsTable[[#This Row],[Occupational Therapist]]*CodeRatesTable[[#This Row],[Occupational Therapist]]</f>
        <v>0</v>
      </c>
      <c r="O29" s="6">
        <f>UnitsTable[[#This Row],[Mental Health Rehab Specialist]]*CodeRatesTable[[#This Row],[Mental Health Rehab Specialist]]</f>
        <v>0</v>
      </c>
      <c r="P29" s="6">
        <f>UnitsTable[[#This Row],[Peer Recovery Specialist]]*CodeRatesTable[[#This Row],[Peer Recovery Specialist]]</f>
        <v>0</v>
      </c>
      <c r="Q29" s="6">
        <f>UnitsTable[[#This Row],[Other Qualified Providers - Other Designated MH staff that bill medical]]*CodeRatesTable[[#This Row],[Other Qualified Providers - Other Designated MH staff that bill medical]]</f>
        <v>0</v>
      </c>
      <c r="R29" s="6">
        <f>SUM(RevenueTable[[#This Row],[Psychiatrist/ Contracted Psychiatrist]:[Other Qualified Providers - Other Designated MH staff that bill medical]])</f>
        <v>0</v>
      </c>
    </row>
    <row r="30" spans="1:18" hidden="1" x14ac:dyDescent="0.25">
      <c r="A30" s="6" t="str">
        <f>INDEX(CodeMinutesTable[Frequently Used],MATCH(RevenueTable[[#This Row],[Billing Code]],CodeMinutesTable[Code],0))</f>
        <v>No</v>
      </c>
      <c r="B30" s="3" t="s">
        <v>95</v>
      </c>
      <c r="C30" t="s">
        <v>96</v>
      </c>
      <c r="D30" s="6">
        <f>UnitsTable[[#This Row],[Psychiatrist/ Contracted Psychiatrist]]*CodeRatesTable[[#This Row],[Psychiatrist/ Contracted Psychiatrist]]</f>
        <v>0</v>
      </c>
      <c r="E30" s="6">
        <f>UnitsTable[[#This Row],[Physicians Assistant]]*CodeRatesTable[[#This Row],[Physicians Assistant]]</f>
        <v>0</v>
      </c>
      <c r="F30" s="6">
        <f>UnitsTable[[#This Row],[Nurse Practitioner]]*CodeRatesTable[[#This Row],[Nurse Practitioner]]</f>
        <v>0</v>
      </c>
      <c r="G30" s="6">
        <f>UnitsTable[[#This Row],[RN]]*CodeRatesTable[[#This Row],[RN]]</f>
        <v>0</v>
      </c>
      <c r="H30" s="6">
        <f>UnitsTable[[#This Row],[Certified Nurse Specialist]]*CodeRatesTable[[#This Row],[Certified Nurse Specialist]]</f>
        <v>0</v>
      </c>
      <c r="I30" s="6">
        <f>UnitsTable[[#This Row],[LVN]]*CodeRatesTable[[#This Row],[LVN]]</f>
        <v>0</v>
      </c>
      <c r="J30" s="6">
        <f>UnitsTable[[#This Row],[Pharmacist]]*CodeRatesTable[[#This Row],[Pharmacist]]</f>
        <v>0</v>
      </c>
      <c r="K30" s="6">
        <f>UnitsTable[[#This Row],[Licensed Psychiatric Technician]]*CodeRatesTable[[#This Row],[Licensed Psychiatric Technician]]</f>
        <v>0</v>
      </c>
      <c r="L30" s="6">
        <f>UnitsTable[[#This Row],[Psychologist/Pre-licensed Psychologist]]*CodeRatesTable[[#This Row],[Psychologist/Pre-licensed Psychologist]]</f>
        <v>0</v>
      </c>
      <c r="M30" s="6">
        <f>UnitsTable[[#This Row],[LPHA (MFT  LCSW  LPCC)/ Intern or Waivered LPHA (MFT  LCSW  LPCC)]]*CodeRatesTable[[#This Row],[LPHA (MFT  LCSW  LPCC)/ Intern or Waivered LPHA (MFT  LCSW  LPCC)]]</f>
        <v>0</v>
      </c>
      <c r="N30" s="6">
        <f>UnitsTable[[#This Row],[Occupational Therapist]]*CodeRatesTable[[#This Row],[Occupational Therapist]]</f>
        <v>0</v>
      </c>
      <c r="O30" s="6">
        <f>UnitsTable[[#This Row],[Mental Health Rehab Specialist]]*CodeRatesTable[[#This Row],[Mental Health Rehab Specialist]]</f>
        <v>0</v>
      </c>
      <c r="P30" s="6">
        <f>UnitsTable[[#This Row],[Peer Recovery Specialist]]*CodeRatesTable[[#This Row],[Peer Recovery Specialist]]</f>
        <v>0</v>
      </c>
      <c r="Q30" s="6">
        <f>UnitsTable[[#This Row],[Other Qualified Providers - Other Designated MH staff that bill medical]]*CodeRatesTable[[#This Row],[Other Qualified Providers - Other Designated MH staff that bill medical]]</f>
        <v>0</v>
      </c>
      <c r="R30" s="6">
        <f>SUM(RevenueTable[[#This Row],[Psychiatrist/ Contracted Psychiatrist]:[Other Qualified Providers - Other Designated MH staff that bill medical]])</f>
        <v>0</v>
      </c>
    </row>
    <row r="31" spans="1:18" hidden="1" x14ac:dyDescent="0.25">
      <c r="A31" s="6" t="str">
        <f>INDEX(CodeMinutesTable[Frequently Used],MATCH(RevenueTable[[#This Row],[Billing Code]],CodeMinutesTable[Code],0))</f>
        <v>No</v>
      </c>
      <c r="B31" s="3" t="s">
        <v>97</v>
      </c>
      <c r="C31" t="s">
        <v>98</v>
      </c>
      <c r="D31" s="6">
        <f>UnitsTable[[#This Row],[Psychiatrist/ Contracted Psychiatrist]]*CodeRatesTable[[#This Row],[Psychiatrist/ Contracted Psychiatrist]]</f>
        <v>0</v>
      </c>
      <c r="E31" s="6">
        <f>UnitsTable[[#This Row],[Physicians Assistant]]*CodeRatesTable[[#This Row],[Physicians Assistant]]</f>
        <v>0</v>
      </c>
      <c r="F31" s="6">
        <f>UnitsTable[[#This Row],[Nurse Practitioner]]*CodeRatesTable[[#This Row],[Nurse Practitioner]]</f>
        <v>0</v>
      </c>
      <c r="G31" s="6">
        <f>UnitsTable[[#This Row],[RN]]*CodeRatesTable[[#This Row],[RN]]</f>
        <v>0</v>
      </c>
      <c r="H31" s="6">
        <f>UnitsTable[[#This Row],[Certified Nurse Specialist]]*CodeRatesTable[[#This Row],[Certified Nurse Specialist]]</f>
        <v>0</v>
      </c>
      <c r="I31" s="6">
        <f>UnitsTable[[#This Row],[LVN]]*CodeRatesTable[[#This Row],[LVN]]</f>
        <v>0</v>
      </c>
      <c r="J31" s="6">
        <f>UnitsTable[[#This Row],[Pharmacist]]*CodeRatesTable[[#This Row],[Pharmacist]]</f>
        <v>0</v>
      </c>
      <c r="K31" s="6">
        <f>UnitsTable[[#This Row],[Licensed Psychiatric Technician]]*CodeRatesTable[[#This Row],[Licensed Psychiatric Technician]]</f>
        <v>0</v>
      </c>
      <c r="L31" s="6">
        <f>UnitsTable[[#This Row],[Psychologist/Pre-licensed Psychologist]]*CodeRatesTable[[#This Row],[Psychologist/Pre-licensed Psychologist]]</f>
        <v>0</v>
      </c>
      <c r="M31" s="6">
        <f>UnitsTable[[#This Row],[LPHA (MFT  LCSW  LPCC)/ Intern or Waivered LPHA (MFT  LCSW  LPCC)]]*CodeRatesTable[[#This Row],[LPHA (MFT  LCSW  LPCC)/ Intern or Waivered LPHA (MFT  LCSW  LPCC)]]</f>
        <v>0</v>
      </c>
      <c r="N31" s="6">
        <f>UnitsTable[[#This Row],[Occupational Therapist]]*CodeRatesTable[[#This Row],[Occupational Therapist]]</f>
        <v>0</v>
      </c>
      <c r="O31" s="6">
        <f>UnitsTable[[#This Row],[Mental Health Rehab Specialist]]*CodeRatesTable[[#This Row],[Mental Health Rehab Specialist]]</f>
        <v>0</v>
      </c>
      <c r="P31" s="6">
        <f>UnitsTable[[#This Row],[Peer Recovery Specialist]]*CodeRatesTable[[#This Row],[Peer Recovery Specialist]]</f>
        <v>0</v>
      </c>
      <c r="Q31" s="6">
        <f>UnitsTable[[#This Row],[Other Qualified Providers - Other Designated MH staff that bill medical]]*CodeRatesTable[[#This Row],[Other Qualified Providers - Other Designated MH staff that bill medical]]</f>
        <v>0</v>
      </c>
      <c r="R31" s="6">
        <f>SUM(RevenueTable[[#This Row],[Psychiatrist/ Contracted Psychiatrist]:[Other Qualified Providers - Other Designated MH staff that bill medical]])</f>
        <v>0</v>
      </c>
    </row>
    <row r="32" spans="1:18" hidden="1" x14ac:dyDescent="0.25">
      <c r="A32" s="6" t="str">
        <f>INDEX(CodeMinutesTable[Frequently Used],MATCH(RevenueTable[[#This Row],[Billing Code]],CodeMinutesTable[Code],0))</f>
        <v>No</v>
      </c>
      <c r="B32" s="3" t="s">
        <v>99</v>
      </c>
      <c r="C32" t="s">
        <v>100</v>
      </c>
      <c r="D32" s="6">
        <f>UnitsTable[[#This Row],[Psychiatrist/ Contracted Psychiatrist]]*CodeRatesTable[[#This Row],[Psychiatrist/ Contracted Psychiatrist]]</f>
        <v>0</v>
      </c>
      <c r="E32" s="6">
        <f>UnitsTable[[#This Row],[Physicians Assistant]]*CodeRatesTable[[#This Row],[Physicians Assistant]]</f>
        <v>0</v>
      </c>
      <c r="F32" s="6">
        <f>UnitsTable[[#This Row],[Nurse Practitioner]]*CodeRatesTable[[#This Row],[Nurse Practitioner]]</f>
        <v>0</v>
      </c>
      <c r="G32" s="6">
        <f>UnitsTable[[#This Row],[RN]]*CodeRatesTable[[#This Row],[RN]]</f>
        <v>0</v>
      </c>
      <c r="H32" s="6">
        <f>UnitsTable[[#This Row],[Certified Nurse Specialist]]*CodeRatesTable[[#This Row],[Certified Nurse Specialist]]</f>
        <v>0</v>
      </c>
      <c r="I32" s="6">
        <f>UnitsTable[[#This Row],[LVN]]*CodeRatesTable[[#This Row],[LVN]]</f>
        <v>0</v>
      </c>
      <c r="J32" s="6">
        <f>UnitsTable[[#This Row],[Pharmacist]]*CodeRatesTable[[#This Row],[Pharmacist]]</f>
        <v>0</v>
      </c>
      <c r="K32" s="6">
        <f>UnitsTable[[#This Row],[Licensed Psychiatric Technician]]*CodeRatesTable[[#This Row],[Licensed Psychiatric Technician]]</f>
        <v>0</v>
      </c>
      <c r="L32" s="6">
        <f>UnitsTable[[#This Row],[Psychologist/Pre-licensed Psychologist]]*CodeRatesTable[[#This Row],[Psychologist/Pre-licensed Psychologist]]</f>
        <v>0</v>
      </c>
      <c r="M32" s="6">
        <f>UnitsTable[[#This Row],[LPHA (MFT  LCSW  LPCC)/ Intern or Waivered LPHA (MFT  LCSW  LPCC)]]*CodeRatesTable[[#This Row],[LPHA (MFT  LCSW  LPCC)/ Intern or Waivered LPHA (MFT  LCSW  LPCC)]]</f>
        <v>0</v>
      </c>
      <c r="N32" s="6">
        <f>UnitsTable[[#This Row],[Occupational Therapist]]*CodeRatesTable[[#This Row],[Occupational Therapist]]</f>
        <v>0</v>
      </c>
      <c r="O32" s="6">
        <f>UnitsTable[[#This Row],[Mental Health Rehab Specialist]]*CodeRatesTable[[#This Row],[Mental Health Rehab Specialist]]</f>
        <v>0</v>
      </c>
      <c r="P32" s="6">
        <f>UnitsTable[[#This Row],[Peer Recovery Specialist]]*CodeRatesTable[[#This Row],[Peer Recovery Specialist]]</f>
        <v>0</v>
      </c>
      <c r="Q32" s="6">
        <f>UnitsTable[[#This Row],[Other Qualified Providers - Other Designated MH staff that bill medical]]*CodeRatesTable[[#This Row],[Other Qualified Providers - Other Designated MH staff that bill medical]]</f>
        <v>0</v>
      </c>
      <c r="R32" s="6">
        <f>SUM(RevenueTable[[#This Row],[Psychiatrist/ Contracted Psychiatrist]:[Other Qualified Providers - Other Designated MH staff that bill medical]])</f>
        <v>0</v>
      </c>
    </row>
    <row r="33" spans="1:18" x14ac:dyDescent="0.25">
      <c r="A33" s="6" t="str">
        <f>INDEX(CodeMinutesTable[Frequently Used],MATCH(RevenueTable[[#This Row],[Billing Code]],CodeMinutesTable[Code],0))</f>
        <v>Yes</v>
      </c>
      <c r="B33" s="3" t="s">
        <v>101</v>
      </c>
      <c r="C33" t="s">
        <v>102</v>
      </c>
      <c r="D33" s="6">
        <f>UnitsTable[[#This Row],[Psychiatrist/ Contracted Psychiatrist]]*CodeRatesTable[[#This Row],[Psychiatrist/ Contracted Psychiatrist]]</f>
        <v>0</v>
      </c>
      <c r="E33" s="6">
        <f>UnitsTable[[#This Row],[Physicians Assistant]]*CodeRatesTable[[#This Row],[Physicians Assistant]]</f>
        <v>0</v>
      </c>
      <c r="F33" s="6">
        <f>UnitsTable[[#This Row],[Nurse Practitioner]]*CodeRatesTable[[#This Row],[Nurse Practitioner]]</f>
        <v>0</v>
      </c>
      <c r="G33" s="6">
        <f>UnitsTable[[#This Row],[RN]]*CodeRatesTable[[#This Row],[RN]]</f>
        <v>0</v>
      </c>
      <c r="H33" s="6">
        <f>UnitsTable[[#This Row],[Certified Nurse Specialist]]*CodeRatesTable[[#This Row],[Certified Nurse Specialist]]</f>
        <v>0</v>
      </c>
      <c r="I33" s="6">
        <f>UnitsTable[[#This Row],[LVN]]*CodeRatesTable[[#This Row],[LVN]]</f>
        <v>0</v>
      </c>
      <c r="J33" s="6">
        <f>UnitsTable[[#This Row],[Pharmacist]]*CodeRatesTable[[#This Row],[Pharmacist]]</f>
        <v>0</v>
      </c>
      <c r="K33" s="6">
        <f>UnitsTable[[#This Row],[Licensed Psychiatric Technician]]*CodeRatesTable[[#This Row],[Licensed Psychiatric Technician]]</f>
        <v>0</v>
      </c>
      <c r="L33" s="6">
        <f>UnitsTable[[#This Row],[Psychologist/Pre-licensed Psychologist]]*CodeRatesTable[[#This Row],[Psychologist/Pre-licensed Psychologist]]</f>
        <v>0</v>
      </c>
      <c r="M33" s="6">
        <f>UnitsTable[[#This Row],[LPHA (MFT  LCSW  LPCC)/ Intern or Waivered LPHA (MFT  LCSW  LPCC)]]*CodeRatesTable[[#This Row],[LPHA (MFT  LCSW  LPCC)/ Intern or Waivered LPHA (MFT  LCSW  LPCC)]]</f>
        <v>0</v>
      </c>
      <c r="N33" s="6">
        <f>UnitsTable[[#This Row],[Occupational Therapist]]*CodeRatesTable[[#This Row],[Occupational Therapist]]</f>
        <v>0</v>
      </c>
      <c r="O33" s="6">
        <f>UnitsTable[[#This Row],[Mental Health Rehab Specialist]]*CodeRatesTable[[#This Row],[Mental Health Rehab Specialist]]</f>
        <v>0</v>
      </c>
      <c r="P33" s="6">
        <f>UnitsTable[[#This Row],[Peer Recovery Specialist]]*CodeRatesTable[[#This Row],[Peer Recovery Specialist]]</f>
        <v>0</v>
      </c>
      <c r="Q33" s="6">
        <f>UnitsTable[[#This Row],[Other Qualified Providers - Other Designated MH staff that bill medical]]*CodeRatesTable[[#This Row],[Other Qualified Providers - Other Designated MH staff that bill medical]]</f>
        <v>0</v>
      </c>
      <c r="R33" s="6">
        <f>SUM(RevenueTable[[#This Row],[Psychiatrist/ Contracted Psychiatrist]:[Other Qualified Providers - Other Designated MH staff that bill medical]])</f>
        <v>0</v>
      </c>
    </row>
    <row r="34" spans="1:18" x14ac:dyDescent="0.25">
      <c r="A34" s="6" t="str">
        <f>INDEX(CodeMinutesTable[Frequently Used],MATCH(RevenueTable[[#This Row],[Billing Code]],CodeMinutesTable[Code],0))</f>
        <v>Yes</v>
      </c>
      <c r="B34" s="3" t="s">
        <v>103</v>
      </c>
      <c r="C34" t="s">
        <v>104</v>
      </c>
      <c r="D34" s="6">
        <f>UnitsTable[[#This Row],[Psychiatrist/ Contracted Psychiatrist]]*CodeRatesTable[[#This Row],[Psychiatrist/ Contracted Psychiatrist]]</f>
        <v>0</v>
      </c>
      <c r="E34" s="6">
        <f>UnitsTable[[#This Row],[Physicians Assistant]]*CodeRatesTable[[#This Row],[Physicians Assistant]]</f>
        <v>0</v>
      </c>
      <c r="F34" s="6">
        <f>UnitsTable[[#This Row],[Nurse Practitioner]]*CodeRatesTable[[#This Row],[Nurse Practitioner]]</f>
        <v>0</v>
      </c>
      <c r="G34" s="6">
        <f>UnitsTable[[#This Row],[RN]]*CodeRatesTable[[#This Row],[RN]]</f>
        <v>0</v>
      </c>
      <c r="H34" s="6">
        <f>UnitsTable[[#This Row],[Certified Nurse Specialist]]*CodeRatesTable[[#This Row],[Certified Nurse Specialist]]</f>
        <v>0</v>
      </c>
      <c r="I34" s="6">
        <f>UnitsTable[[#This Row],[LVN]]*CodeRatesTable[[#This Row],[LVN]]</f>
        <v>0</v>
      </c>
      <c r="J34" s="6">
        <f>UnitsTable[[#This Row],[Pharmacist]]*CodeRatesTable[[#This Row],[Pharmacist]]</f>
        <v>0</v>
      </c>
      <c r="K34" s="6">
        <f>UnitsTable[[#This Row],[Licensed Psychiatric Technician]]*CodeRatesTable[[#This Row],[Licensed Psychiatric Technician]]</f>
        <v>0</v>
      </c>
      <c r="L34" s="6">
        <f>UnitsTable[[#This Row],[Psychologist/Pre-licensed Psychologist]]*CodeRatesTable[[#This Row],[Psychologist/Pre-licensed Psychologist]]</f>
        <v>0</v>
      </c>
      <c r="M34" s="6">
        <f>UnitsTable[[#This Row],[LPHA (MFT  LCSW  LPCC)/ Intern or Waivered LPHA (MFT  LCSW  LPCC)]]*CodeRatesTable[[#This Row],[LPHA (MFT  LCSW  LPCC)/ Intern or Waivered LPHA (MFT  LCSW  LPCC)]]</f>
        <v>0</v>
      </c>
      <c r="N34" s="6">
        <f>UnitsTable[[#This Row],[Occupational Therapist]]*CodeRatesTable[[#This Row],[Occupational Therapist]]</f>
        <v>0</v>
      </c>
      <c r="O34" s="6">
        <f>UnitsTable[[#This Row],[Mental Health Rehab Specialist]]*CodeRatesTable[[#This Row],[Mental Health Rehab Specialist]]</f>
        <v>0</v>
      </c>
      <c r="P34" s="6">
        <f>UnitsTable[[#This Row],[Peer Recovery Specialist]]*CodeRatesTable[[#This Row],[Peer Recovery Specialist]]</f>
        <v>0</v>
      </c>
      <c r="Q34" s="6">
        <f>UnitsTable[[#This Row],[Other Qualified Providers - Other Designated MH staff that bill medical]]*CodeRatesTable[[#This Row],[Other Qualified Providers - Other Designated MH staff that bill medical]]</f>
        <v>0</v>
      </c>
      <c r="R34" s="6">
        <f>SUM(RevenueTable[[#This Row],[Psychiatrist/ Contracted Psychiatrist]:[Other Qualified Providers - Other Designated MH staff that bill medical]])</f>
        <v>0</v>
      </c>
    </row>
    <row r="35" spans="1:18" hidden="1" x14ac:dyDescent="0.25">
      <c r="A35" s="6" t="str">
        <f>INDEX(CodeMinutesTable[Frequently Used],MATCH(RevenueTable[[#This Row],[Billing Code]],CodeMinutesTable[Code],0))</f>
        <v>No</v>
      </c>
      <c r="B35" s="3" t="s">
        <v>105</v>
      </c>
      <c r="C35" t="s">
        <v>106</v>
      </c>
      <c r="D35" s="6">
        <f>UnitsTable[[#This Row],[Psychiatrist/ Contracted Psychiatrist]]*CodeRatesTable[[#This Row],[Psychiatrist/ Contracted Psychiatrist]]</f>
        <v>0</v>
      </c>
      <c r="E35" s="6">
        <f>UnitsTable[[#This Row],[Physicians Assistant]]*CodeRatesTable[[#This Row],[Physicians Assistant]]</f>
        <v>0</v>
      </c>
      <c r="F35" s="6">
        <f>UnitsTable[[#This Row],[Nurse Practitioner]]*CodeRatesTable[[#This Row],[Nurse Practitioner]]</f>
        <v>0</v>
      </c>
      <c r="G35" s="6">
        <f>UnitsTable[[#This Row],[RN]]*CodeRatesTable[[#This Row],[RN]]</f>
        <v>0</v>
      </c>
      <c r="H35" s="6">
        <f>UnitsTable[[#This Row],[Certified Nurse Specialist]]*CodeRatesTable[[#This Row],[Certified Nurse Specialist]]</f>
        <v>0</v>
      </c>
      <c r="I35" s="6">
        <f>UnitsTable[[#This Row],[LVN]]*CodeRatesTable[[#This Row],[LVN]]</f>
        <v>0</v>
      </c>
      <c r="J35" s="6">
        <f>UnitsTable[[#This Row],[Pharmacist]]*CodeRatesTable[[#This Row],[Pharmacist]]</f>
        <v>0</v>
      </c>
      <c r="K35" s="6">
        <f>UnitsTable[[#This Row],[Licensed Psychiatric Technician]]*CodeRatesTable[[#This Row],[Licensed Psychiatric Technician]]</f>
        <v>0</v>
      </c>
      <c r="L35" s="6">
        <f>UnitsTable[[#This Row],[Psychologist/Pre-licensed Psychologist]]*CodeRatesTable[[#This Row],[Psychologist/Pre-licensed Psychologist]]</f>
        <v>0</v>
      </c>
      <c r="M35" s="6">
        <f>UnitsTable[[#This Row],[LPHA (MFT  LCSW  LPCC)/ Intern or Waivered LPHA (MFT  LCSW  LPCC)]]*CodeRatesTable[[#This Row],[LPHA (MFT  LCSW  LPCC)/ Intern or Waivered LPHA (MFT  LCSW  LPCC)]]</f>
        <v>0</v>
      </c>
      <c r="N35" s="6">
        <f>UnitsTable[[#This Row],[Occupational Therapist]]*CodeRatesTable[[#This Row],[Occupational Therapist]]</f>
        <v>0</v>
      </c>
      <c r="O35" s="6">
        <f>UnitsTable[[#This Row],[Mental Health Rehab Specialist]]*CodeRatesTable[[#This Row],[Mental Health Rehab Specialist]]</f>
        <v>0</v>
      </c>
      <c r="P35" s="6">
        <f>UnitsTable[[#This Row],[Peer Recovery Specialist]]*CodeRatesTable[[#This Row],[Peer Recovery Specialist]]</f>
        <v>0</v>
      </c>
      <c r="Q35" s="6">
        <f>UnitsTable[[#This Row],[Other Qualified Providers - Other Designated MH staff that bill medical]]*CodeRatesTable[[#This Row],[Other Qualified Providers - Other Designated MH staff that bill medical]]</f>
        <v>0</v>
      </c>
      <c r="R35" s="6">
        <f>SUM(RevenueTable[[#This Row],[Psychiatrist/ Contracted Psychiatrist]:[Other Qualified Providers - Other Designated MH staff that bill medical]])</f>
        <v>0</v>
      </c>
    </row>
    <row r="36" spans="1:18" hidden="1" x14ac:dyDescent="0.25">
      <c r="A36" s="6" t="str">
        <f>INDEX(CodeMinutesTable[Frequently Used],MATCH(RevenueTable[[#This Row],[Billing Code]],CodeMinutesTable[Code],0))</f>
        <v>No</v>
      </c>
      <c r="B36" s="3" t="s">
        <v>107</v>
      </c>
      <c r="C36" t="s">
        <v>108</v>
      </c>
      <c r="D36" s="6">
        <f>UnitsTable[[#This Row],[Psychiatrist/ Contracted Psychiatrist]]*CodeRatesTable[[#This Row],[Psychiatrist/ Contracted Psychiatrist]]</f>
        <v>0</v>
      </c>
      <c r="E36" s="6">
        <f>UnitsTable[[#This Row],[Physicians Assistant]]*CodeRatesTable[[#This Row],[Physicians Assistant]]</f>
        <v>0</v>
      </c>
      <c r="F36" s="6">
        <f>UnitsTable[[#This Row],[Nurse Practitioner]]*CodeRatesTable[[#This Row],[Nurse Practitioner]]</f>
        <v>0</v>
      </c>
      <c r="G36" s="6">
        <f>UnitsTable[[#This Row],[RN]]*CodeRatesTable[[#This Row],[RN]]</f>
        <v>0</v>
      </c>
      <c r="H36" s="6">
        <f>UnitsTable[[#This Row],[Certified Nurse Specialist]]*CodeRatesTable[[#This Row],[Certified Nurse Specialist]]</f>
        <v>0</v>
      </c>
      <c r="I36" s="6">
        <f>UnitsTable[[#This Row],[LVN]]*CodeRatesTable[[#This Row],[LVN]]</f>
        <v>0</v>
      </c>
      <c r="J36" s="6">
        <f>UnitsTable[[#This Row],[Pharmacist]]*CodeRatesTable[[#This Row],[Pharmacist]]</f>
        <v>0</v>
      </c>
      <c r="K36" s="6">
        <f>UnitsTable[[#This Row],[Licensed Psychiatric Technician]]*CodeRatesTable[[#This Row],[Licensed Psychiatric Technician]]</f>
        <v>0</v>
      </c>
      <c r="L36" s="6">
        <f>UnitsTable[[#This Row],[Psychologist/Pre-licensed Psychologist]]*CodeRatesTable[[#This Row],[Psychologist/Pre-licensed Psychologist]]</f>
        <v>0</v>
      </c>
      <c r="M36" s="6">
        <f>UnitsTable[[#This Row],[LPHA (MFT  LCSW  LPCC)/ Intern or Waivered LPHA (MFT  LCSW  LPCC)]]*CodeRatesTable[[#This Row],[LPHA (MFT  LCSW  LPCC)/ Intern or Waivered LPHA (MFT  LCSW  LPCC)]]</f>
        <v>0</v>
      </c>
      <c r="N36" s="6">
        <f>UnitsTable[[#This Row],[Occupational Therapist]]*CodeRatesTable[[#This Row],[Occupational Therapist]]</f>
        <v>0</v>
      </c>
      <c r="O36" s="6">
        <f>UnitsTable[[#This Row],[Mental Health Rehab Specialist]]*CodeRatesTable[[#This Row],[Mental Health Rehab Specialist]]</f>
        <v>0</v>
      </c>
      <c r="P36" s="6">
        <f>UnitsTable[[#This Row],[Peer Recovery Specialist]]*CodeRatesTable[[#This Row],[Peer Recovery Specialist]]</f>
        <v>0</v>
      </c>
      <c r="Q36" s="6">
        <f>UnitsTable[[#This Row],[Other Qualified Providers - Other Designated MH staff that bill medical]]*CodeRatesTable[[#This Row],[Other Qualified Providers - Other Designated MH staff that bill medical]]</f>
        <v>0</v>
      </c>
      <c r="R36" s="6">
        <f>SUM(RevenueTable[[#This Row],[Psychiatrist/ Contracted Psychiatrist]:[Other Qualified Providers - Other Designated MH staff that bill medical]])</f>
        <v>0</v>
      </c>
    </row>
    <row r="37" spans="1:18" hidden="1" x14ac:dyDescent="0.25">
      <c r="A37" s="6" t="str">
        <f>INDEX(CodeMinutesTable[Frequently Used],MATCH(RevenueTable[[#This Row],[Billing Code]],CodeMinutesTable[Code],0))</f>
        <v>No</v>
      </c>
      <c r="B37" s="3" t="s">
        <v>109</v>
      </c>
      <c r="C37" t="s">
        <v>110</v>
      </c>
      <c r="D37" s="6">
        <f>UnitsTable[[#This Row],[Psychiatrist/ Contracted Psychiatrist]]*CodeRatesTable[[#This Row],[Psychiatrist/ Contracted Psychiatrist]]</f>
        <v>0</v>
      </c>
      <c r="E37" s="6">
        <f>UnitsTable[[#This Row],[Physicians Assistant]]*CodeRatesTable[[#This Row],[Physicians Assistant]]</f>
        <v>0</v>
      </c>
      <c r="F37" s="6">
        <f>UnitsTable[[#This Row],[Nurse Practitioner]]*CodeRatesTable[[#This Row],[Nurse Practitioner]]</f>
        <v>0</v>
      </c>
      <c r="G37" s="6">
        <f>UnitsTable[[#This Row],[RN]]*CodeRatesTable[[#This Row],[RN]]</f>
        <v>0</v>
      </c>
      <c r="H37" s="6">
        <f>UnitsTable[[#This Row],[Certified Nurse Specialist]]*CodeRatesTable[[#This Row],[Certified Nurse Specialist]]</f>
        <v>0</v>
      </c>
      <c r="I37" s="6">
        <f>UnitsTable[[#This Row],[LVN]]*CodeRatesTable[[#This Row],[LVN]]</f>
        <v>0</v>
      </c>
      <c r="J37" s="6">
        <f>UnitsTable[[#This Row],[Pharmacist]]*CodeRatesTable[[#This Row],[Pharmacist]]</f>
        <v>0</v>
      </c>
      <c r="K37" s="6">
        <f>UnitsTable[[#This Row],[Licensed Psychiatric Technician]]*CodeRatesTable[[#This Row],[Licensed Psychiatric Technician]]</f>
        <v>0</v>
      </c>
      <c r="L37" s="6">
        <f>UnitsTable[[#This Row],[Psychologist/Pre-licensed Psychologist]]*CodeRatesTable[[#This Row],[Psychologist/Pre-licensed Psychologist]]</f>
        <v>0</v>
      </c>
      <c r="M37" s="6">
        <f>UnitsTable[[#This Row],[LPHA (MFT  LCSW  LPCC)/ Intern or Waivered LPHA (MFT  LCSW  LPCC)]]*CodeRatesTable[[#This Row],[LPHA (MFT  LCSW  LPCC)/ Intern or Waivered LPHA (MFT  LCSW  LPCC)]]</f>
        <v>0</v>
      </c>
      <c r="N37" s="6">
        <f>UnitsTable[[#This Row],[Occupational Therapist]]*CodeRatesTable[[#This Row],[Occupational Therapist]]</f>
        <v>0</v>
      </c>
      <c r="O37" s="6">
        <f>UnitsTable[[#This Row],[Mental Health Rehab Specialist]]*CodeRatesTable[[#This Row],[Mental Health Rehab Specialist]]</f>
        <v>0</v>
      </c>
      <c r="P37" s="6">
        <f>UnitsTable[[#This Row],[Peer Recovery Specialist]]*CodeRatesTable[[#This Row],[Peer Recovery Specialist]]</f>
        <v>0</v>
      </c>
      <c r="Q37" s="6">
        <f>UnitsTable[[#This Row],[Other Qualified Providers - Other Designated MH staff that bill medical]]*CodeRatesTable[[#This Row],[Other Qualified Providers - Other Designated MH staff that bill medical]]</f>
        <v>0</v>
      </c>
      <c r="R37" s="6">
        <f>SUM(RevenueTable[[#This Row],[Psychiatrist/ Contracted Psychiatrist]:[Other Qualified Providers - Other Designated MH staff that bill medical]])</f>
        <v>0</v>
      </c>
    </row>
    <row r="38" spans="1:18" hidden="1" x14ac:dyDescent="0.25">
      <c r="A38" s="6" t="str">
        <f>INDEX(CodeMinutesTable[Frequently Used],MATCH(RevenueTable[[#This Row],[Billing Code]],CodeMinutesTable[Code],0))</f>
        <v>No</v>
      </c>
      <c r="B38" s="3" t="s">
        <v>111</v>
      </c>
      <c r="C38" t="s">
        <v>112</v>
      </c>
      <c r="D38" s="6">
        <f>UnitsTable[[#This Row],[Psychiatrist/ Contracted Psychiatrist]]*CodeRatesTable[[#This Row],[Psychiatrist/ Contracted Psychiatrist]]</f>
        <v>0</v>
      </c>
      <c r="E38" s="6">
        <f>UnitsTable[[#This Row],[Physicians Assistant]]*CodeRatesTable[[#This Row],[Physicians Assistant]]</f>
        <v>0</v>
      </c>
      <c r="F38" s="6">
        <f>UnitsTable[[#This Row],[Nurse Practitioner]]*CodeRatesTable[[#This Row],[Nurse Practitioner]]</f>
        <v>0</v>
      </c>
      <c r="G38" s="6">
        <f>UnitsTable[[#This Row],[RN]]*CodeRatesTable[[#This Row],[RN]]</f>
        <v>0</v>
      </c>
      <c r="H38" s="6">
        <f>UnitsTable[[#This Row],[Certified Nurse Specialist]]*CodeRatesTable[[#This Row],[Certified Nurse Specialist]]</f>
        <v>0</v>
      </c>
      <c r="I38" s="6">
        <f>UnitsTable[[#This Row],[LVN]]*CodeRatesTable[[#This Row],[LVN]]</f>
        <v>0</v>
      </c>
      <c r="J38" s="6">
        <f>UnitsTable[[#This Row],[Pharmacist]]*CodeRatesTable[[#This Row],[Pharmacist]]</f>
        <v>0</v>
      </c>
      <c r="K38" s="6">
        <f>UnitsTable[[#This Row],[Licensed Psychiatric Technician]]*CodeRatesTable[[#This Row],[Licensed Psychiatric Technician]]</f>
        <v>0</v>
      </c>
      <c r="L38" s="6">
        <f>UnitsTable[[#This Row],[Psychologist/Pre-licensed Psychologist]]*CodeRatesTable[[#This Row],[Psychologist/Pre-licensed Psychologist]]</f>
        <v>0</v>
      </c>
      <c r="M38" s="6">
        <f>UnitsTable[[#This Row],[LPHA (MFT  LCSW  LPCC)/ Intern or Waivered LPHA (MFT  LCSW  LPCC)]]*CodeRatesTable[[#This Row],[LPHA (MFT  LCSW  LPCC)/ Intern or Waivered LPHA (MFT  LCSW  LPCC)]]</f>
        <v>0</v>
      </c>
      <c r="N38" s="6">
        <f>UnitsTable[[#This Row],[Occupational Therapist]]*CodeRatesTable[[#This Row],[Occupational Therapist]]</f>
        <v>0</v>
      </c>
      <c r="O38" s="6">
        <f>UnitsTable[[#This Row],[Mental Health Rehab Specialist]]*CodeRatesTable[[#This Row],[Mental Health Rehab Specialist]]</f>
        <v>0</v>
      </c>
      <c r="P38" s="6">
        <f>UnitsTable[[#This Row],[Peer Recovery Specialist]]*CodeRatesTable[[#This Row],[Peer Recovery Specialist]]</f>
        <v>0</v>
      </c>
      <c r="Q38" s="6">
        <f>UnitsTable[[#This Row],[Other Qualified Providers - Other Designated MH staff that bill medical]]*CodeRatesTable[[#This Row],[Other Qualified Providers - Other Designated MH staff that bill medical]]</f>
        <v>0</v>
      </c>
      <c r="R38" s="6">
        <f>SUM(RevenueTable[[#This Row],[Psychiatrist/ Contracted Psychiatrist]:[Other Qualified Providers - Other Designated MH staff that bill medical]])</f>
        <v>0</v>
      </c>
    </row>
    <row r="39" spans="1:18" hidden="1" x14ac:dyDescent="0.25">
      <c r="A39" s="6" t="str">
        <f>INDEX(CodeMinutesTable[Frequently Used],MATCH(RevenueTable[[#This Row],[Billing Code]],CodeMinutesTable[Code],0))</f>
        <v>No</v>
      </c>
      <c r="B39" s="3" t="s">
        <v>113</v>
      </c>
      <c r="C39" t="s">
        <v>114</v>
      </c>
      <c r="D39" s="6">
        <f>UnitsTable[[#This Row],[Psychiatrist/ Contracted Psychiatrist]]*CodeRatesTable[[#This Row],[Psychiatrist/ Contracted Psychiatrist]]</f>
        <v>0</v>
      </c>
      <c r="E39" s="6">
        <f>UnitsTable[[#This Row],[Physicians Assistant]]*CodeRatesTable[[#This Row],[Physicians Assistant]]</f>
        <v>0</v>
      </c>
      <c r="F39" s="6">
        <f>UnitsTable[[#This Row],[Nurse Practitioner]]*CodeRatesTable[[#This Row],[Nurse Practitioner]]</f>
        <v>0</v>
      </c>
      <c r="G39" s="6">
        <f>UnitsTable[[#This Row],[RN]]*CodeRatesTable[[#This Row],[RN]]</f>
        <v>0</v>
      </c>
      <c r="H39" s="6">
        <f>UnitsTable[[#This Row],[Certified Nurse Specialist]]*CodeRatesTable[[#This Row],[Certified Nurse Specialist]]</f>
        <v>0</v>
      </c>
      <c r="I39" s="6">
        <f>UnitsTable[[#This Row],[LVN]]*CodeRatesTable[[#This Row],[LVN]]</f>
        <v>0</v>
      </c>
      <c r="J39" s="6">
        <f>UnitsTable[[#This Row],[Pharmacist]]*CodeRatesTable[[#This Row],[Pharmacist]]</f>
        <v>0</v>
      </c>
      <c r="K39" s="6">
        <f>UnitsTable[[#This Row],[Licensed Psychiatric Technician]]*CodeRatesTable[[#This Row],[Licensed Psychiatric Technician]]</f>
        <v>0</v>
      </c>
      <c r="L39" s="6">
        <f>UnitsTable[[#This Row],[Psychologist/Pre-licensed Psychologist]]*CodeRatesTable[[#This Row],[Psychologist/Pre-licensed Psychologist]]</f>
        <v>0</v>
      </c>
      <c r="M39" s="6">
        <f>UnitsTable[[#This Row],[LPHA (MFT  LCSW  LPCC)/ Intern or Waivered LPHA (MFT  LCSW  LPCC)]]*CodeRatesTable[[#This Row],[LPHA (MFT  LCSW  LPCC)/ Intern or Waivered LPHA (MFT  LCSW  LPCC)]]</f>
        <v>0</v>
      </c>
      <c r="N39" s="6">
        <f>UnitsTable[[#This Row],[Occupational Therapist]]*CodeRatesTable[[#This Row],[Occupational Therapist]]</f>
        <v>0</v>
      </c>
      <c r="O39" s="6">
        <f>UnitsTable[[#This Row],[Mental Health Rehab Specialist]]*CodeRatesTable[[#This Row],[Mental Health Rehab Specialist]]</f>
        <v>0</v>
      </c>
      <c r="P39" s="6">
        <f>UnitsTable[[#This Row],[Peer Recovery Specialist]]*CodeRatesTable[[#This Row],[Peer Recovery Specialist]]</f>
        <v>0</v>
      </c>
      <c r="Q39" s="6">
        <f>UnitsTable[[#This Row],[Other Qualified Providers - Other Designated MH staff that bill medical]]*CodeRatesTable[[#This Row],[Other Qualified Providers - Other Designated MH staff that bill medical]]</f>
        <v>0</v>
      </c>
      <c r="R39" s="6">
        <f>SUM(RevenueTable[[#This Row],[Psychiatrist/ Contracted Psychiatrist]:[Other Qualified Providers - Other Designated MH staff that bill medical]])</f>
        <v>0</v>
      </c>
    </row>
    <row r="40" spans="1:18" hidden="1" x14ac:dyDescent="0.25">
      <c r="A40" s="6" t="str">
        <f>INDEX(CodeMinutesTable[Frequently Used],MATCH(RevenueTable[[#This Row],[Billing Code]],CodeMinutesTable[Code],0))</f>
        <v>No</v>
      </c>
      <c r="B40" s="3" t="s">
        <v>115</v>
      </c>
      <c r="C40" t="s">
        <v>112</v>
      </c>
      <c r="D40" s="6">
        <f>UnitsTable[[#This Row],[Psychiatrist/ Contracted Psychiatrist]]*CodeRatesTable[[#This Row],[Psychiatrist/ Contracted Psychiatrist]]</f>
        <v>0</v>
      </c>
      <c r="E40" s="6">
        <f>UnitsTable[[#This Row],[Physicians Assistant]]*CodeRatesTable[[#This Row],[Physicians Assistant]]</f>
        <v>0</v>
      </c>
      <c r="F40" s="6">
        <f>UnitsTable[[#This Row],[Nurse Practitioner]]*CodeRatesTable[[#This Row],[Nurse Practitioner]]</f>
        <v>0</v>
      </c>
      <c r="G40" s="6">
        <f>UnitsTable[[#This Row],[RN]]*CodeRatesTable[[#This Row],[RN]]</f>
        <v>0</v>
      </c>
      <c r="H40" s="6">
        <f>UnitsTable[[#This Row],[Certified Nurse Specialist]]*CodeRatesTable[[#This Row],[Certified Nurse Specialist]]</f>
        <v>0</v>
      </c>
      <c r="I40" s="6">
        <f>UnitsTable[[#This Row],[LVN]]*CodeRatesTable[[#This Row],[LVN]]</f>
        <v>0</v>
      </c>
      <c r="J40" s="6">
        <f>UnitsTable[[#This Row],[Pharmacist]]*CodeRatesTable[[#This Row],[Pharmacist]]</f>
        <v>0</v>
      </c>
      <c r="K40" s="6">
        <f>UnitsTable[[#This Row],[Licensed Psychiatric Technician]]*CodeRatesTable[[#This Row],[Licensed Psychiatric Technician]]</f>
        <v>0</v>
      </c>
      <c r="L40" s="6">
        <f>UnitsTable[[#This Row],[Psychologist/Pre-licensed Psychologist]]*CodeRatesTable[[#This Row],[Psychologist/Pre-licensed Psychologist]]</f>
        <v>0</v>
      </c>
      <c r="M40" s="6">
        <f>UnitsTable[[#This Row],[LPHA (MFT  LCSW  LPCC)/ Intern or Waivered LPHA (MFT  LCSW  LPCC)]]*CodeRatesTable[[#This Row],[LPHA (MFT  LCSW  LPCC)/ Intern or Waivered LPHA (MFT  LCSW  LPCC)]]</f>
        <v>0</v>
      </c>
      <c r="N40" s="6">
        <f>UnitsTable[[#This Row],[Occupational Therapist]]*CodeRatesTable[[#This Row],[Occupational Therapist]]</f>
        <v>0</v>
      </c>
      <c r="O40" s="6">
        <f>UnitsTable[[#This Row],[Mental Health Rehab Specialist]]*CodeRatesTable[[#This Row],[Mental Health Rehab Specialist]]</f>
        <v>0</v>
      </c>
      <c r="P40" s="6">
        <f>UnitsTable[[#This Row],[Peer Recovery Specialist]]*CodeRatesTable[[#This Row],[Peer Recovery Specialist]]</f>
        <v>0</v>
      </c>
      <c r="Q40" s="6">
        <f>UnitsTable[[#This Row],[Other Qualified Providers - Other Designated MH staff that bill medical]]*CodeRatesTable[[#This Row],[Other Qualified Providers - Other Designated MH staff that bill medical]]</f>
        <v>0</v>
      </c>
      <c r="R40" s="6">
        <f>SUM(RevenueTable[[#This Row],[Psychiatrist/ Contracted Psychiatrist]:[Other Qualified Providers - Other Designated MH staff that bill medical]])</f>
        <v>0</v>
      </c>
    </row>
    <row r="41" spans="1:18" hidden="1" x14ac:dyDescent="0.25">
      <c r="A41" s="6" t="str">
        <f>INDEX(CodeMinutesTable[Frequently Used],MATCH(RevenueTable[[#This Row],[Billing Code]],CodeMinutesTable[Code],0))</f>
        <v>No</v>
      </c>
      <c r="B41" s="3" t="s">
        <v>116</v>
      </c>
      <c r="C41" t="s">
        <v>117</v>
      </c>
      <c r="D41" s="6">
        <f>UnitsTable[[#This Row],[Psychiatrist/ Contracted Psychiatrist]]*CodeRatesTable[[#This Row],[Psychiatrist/ Contracted Psychiatrist]]</f>
        <v>0</v>
      </c>
      <c r="E41" s="6">
        <f>UnitsTable[[#This Row],[Physicians Assistant]]*CodeRatesTable[[#This Row],[Physicians Assistant]]</f>
        <v>0</v>
      </c>
      <c r="F41" s="6">
        <f>UnitsTable[[#This Row],[Nurse Practitioner]]*CodeRatesTable[[#This Row],[Nurse Practitioner]]</f>
        <v>0</v>
      </c>
      <c r="G41" s="6">
        <f>UnitsTable[[#This Row],[RN]]*CodeRatesTable[[#This Row],[RN]]</f>
        <v>0</v>
      </c>
      <c r="H41" s="6">
        <f>UnitsTable[[#This Row],[Certified Nurse Specialist]]*CodeRatesTable[[#This Row],[Certified Nurse Specialist]]</f>
        <v>0</v>
      </c>
      <c r="I41" s="6">
        <f>UnitsTable[[#This Row],[LVN]]*CodeRatesTable[[#This Row],[LVN]]</f>
        <v>0</v>
      </c>
      <c r="J41" s="6">
        <f>UnitsTable[[#This Row],[Pharmacist]]*CodeRatesTable[[#This Row],[Pharmacist]]</f>
        <v>0</v>
      </c>
      <c r="K41" s="6">
        <f>UnitsTable[[#This Row],[Licensed Psychiatric Technician]]*CodeRatesTable[[#This Row],[Licensed Psychiatric Technician]]</f>
        <v>0</v>
      </c>
      <c r="L41" s="6">
        <f>UnitsTable[[#This Row],[Psychologist/Pre-licensed Psychologist]]*CodeRatesTable[[#This Row],[Psychologist/Pre-licensed Psychologist]]</f>
        <v>0</v>
      </c>
      <c r="M41" s="6">
        <f>UnitsTable[[#This Row],[LPHA (MFT  LCSW  LPCC)/ Intern or Waivered LPHA (MFT  LCSW  LPCC)]]*CodeRatesTable[[#This Row],[LPHA (MFT  LCSW  LPCC)/ Intern or Waivered LPHA (MFT  LCSW  LPCC)]]</f>
        <v>0</v>
      </c>
      <c r="N41" s="6">
        <f>UnitsTable[[#This Row],[Occupational Therapist]]*CodeRatesTable[[#This Row],[Occupational Therapist]]</f>
        <v>0</v>
      </c>
      <c r="O41" s="6">
        <f>UnitsTable[[#This Row],[Mental Health Rehab Specialist]]*CodeRatesTable[[#This Row],[Mental Health Rehab Specialist]]</f>
        <v>0</v>
      </c>
      <c r="P41" s="6">
        <f>UnitsTable[[#This Row],[Peer Recovery Specialist]]*CodeRatesTable[[#This Row],[Peer Recovery Specialist]]</f>
        <v>0</v>
      </c>
      <c r="Q41" s="6">
        <f>UnitsTable[[#This Row],[Other Qualified Providers - Other Designated MH staff that bill medical]]*CodeRatesTable[[#This Row],[Other Qualified Providers - Other Designated MH staff that bill medical]]</f>
        <v>0</v>
      </c>
      <c r="R41" s="6">
        <f>SUM(RevenueTable[[#This Row],[Psychiatrist/ Contracted Psychiatrist]:[Other Qualified Providers - Other Designated MH staff that bill medical]])</f>
        <v>0</v>
      </c>
    </row>
    <row r="42" spans="1:18" hidden="1" x14ac:dyDescent="0.25">
      <c r="A42" s="6" t="str">
        <f>INDEX(CodeMinutesTable[Frequently Used],MATCH(RevenueTable[[#This Row],[Billing Code]],CodeMinutesTable[Code],0))</f>
        <v>No</v>
      </c>
      <c r="B42" s="3" t="s">
        <v>118</v>
      </c>
      <c r="C42" t="s">
        <v>119</v>
      </c>
      <c r="D42" s="6">
        <f>UnitsTable[[#This Row],[Psychiatrist/ Contracted Psychiatrist]]*CodeRatesTable[[#This Row],[Psychiatrist/ Contracted Psychiatrist]]</f>
        <v>0</v>
      </c>
      <c r="E42" s="6">
        <f>UnitsTable[[#This Row],[Physicians Assistant]]*CodeRatesTable[[#This Row],[Physicians Assistant]]</f>
        <v>0</v>
      </c>
      <c r="F42" s="6">
        <f>UnitsTable[[#This Row],[Nurse Practitioner]]*CodeRatesTable[[#This Row],[Nurse Practitioner]]</f>
        <v>0</v>
      </c>
      <c r="G42" s="6">
        <f>UnitsTable[[#This Row],[RN]]*CodeRatesTable[[#This Row],[RN]]</f>
        <v>0</v>
      </c>
      <c r="H42" s="6">
        <f>UnitsTable[[#This Row],[Certified Nurse Specialist]]*CodeRatesTable[[#This Row],[Certified Nurse Specialist]]</f>
        <v>0</v>
      </c>
      <c r="I42" s="6">
        <f>UnitsTable[[#This Row],[LVN]]*CodeRatesTable[[#This Row],[LVN]]</f>
        <v>0</v>
      </c>
      <c r="J42" s="6">
        <f>UnitsTable[[#This Row],[Pharmacist]]*CodeRatesTable[[#This Row],[Pharmacist]]</f>
        <v>0</v>
      </c>
      <c r="K42" s="6">
        <f>UnitsTable[[#This Row],[Licensed Psychiatric Technician]]*CodeRatesTable[[#This Row],[Licensed Psychiatric Technician]]</f>
        <v>0</v>
      </c>
      <c r="L42" s="6">
        <f>UnitsTable[[#This Row],[Psychologist/Pre-licensed Psychologist]]*CodeRatesTable[[#This Row],[Psychologist/Pre-licensed Psychologist]]</f>
        <v>0</v>
      </c>
      <c r="M42" s="6">
        <f>UnitsTable[[#This Row],[LPHA (MFT  LCSW  LPCC)/ Intern or Waivered LPHA (MFT  LCSW  LPCC)]]*CodeRatesTable[[#This Row],[LPHA (MFT  LCSW  LPCC)/ Intern or Waivered LPHA (MFT  LCSW  LPCC)]]</f>
        <v>0</v>
      </c>
      <c r="N42" s="6">
        <f>UnitsTable[[#This Row],[Occupational Therapist]]*CodeRatesTable[[#This Row],[Occupational Therapist]]</f>
        <v>0</v>
      </c>
      <c r="O42" s="6">
        <f>UnitsTable[[#This Row],[Mental Health Rehab Specialist]]*CodeRatesTable[[#This Row],[Mental Health Rehab Specialist]]</f>
        <v>0</v>
      </c>
      <c r="P42" s="6">
        <f>UnitsTable[[#This Row],[Peer Recovery Specialist]]*CodeRatesTable[[#This Row],[Peer Recovery Specialist]]</f>
        <v>0</v>
      </c>
      <c r="Q42" s="6">
        <f>UnitsTable[[#This Row],[Other Qualified Providers - Other Designated MH staff that bill medical]]*CodeRatesTable[[#This Row],[Other Qualified Providers - Other Designated MH staff that bill medical]]</f>
        <v>0</v>
      </c>
      <c r="R42" s="6">
        <f>SUM(RevenueTable[[#This Row],[Psychiatrist/ Contracted Psychiatrist]:[Other Qualified Providers - Other Designated MH staff that bill medical]])</f>
        <v>0</v>
      </c>
    </row>
    <row r="43" spans="1:18" hidden="1" x14ac:dyDescent="0.25">
      <c r="A43" s="6" t="str">
        <f>INDEX(CodeMinutesTable[Frequently Used],MATCH(RevenueTable[[#This Row],[Billing Code]],CodeMinutesTable[Code],0))</f>
        <v>No</v>
      </c>
      <c r="B43" s="3" t="s">
        <v>120</v>
      </c>
      <c r="C43" t="s">
        <v>121</v>
      </c>
      <c r="D43" s="6">
        <f>UnitsTable[[#This Row],[Psychiatrist/ Contracted Psychiatrist]]*CodeRatesTable[[#This Row],[Psychiatrist/ Contracted Psychiatrist]]</f>
        <v>0</v>
      </c>
      <c r="E43" s="6">
        <f>UnitsTable[[#This Row],[Physicians Assistant]]*CodeRatesTable[[#This Row],[Physicians Assistant]]</f>
        <v>0</v>
      </c>
      <c r="F43" s="6">
        <f>UnitsTable[[#This Row],[Nurse Practitioner]]*CodeRatesTable[[#This Row],[Nurse Practitioner]]</f>
        <v>0</v>
      </c>
      <c r="G43" s="6">
        <f>UnitsTable[[#This Row],[RN]]*CodeRatesTable[[#This Row],[RN]]</f>
        <v>0</v>
      </c>
      <c r="H43" s="6">
        <f>UnitsTable[[#This Row],[Certified Nurse Specialist]]*CodeRatesTable[[#This Row],[Certified Nurse Specialist]]</f>
        <v>0</v>
      </c>
      <c r="I43" s="6">
        <f>UnitsTable[[#This Row],[LVN]]*CodeRatesTable[[#This Row],[LVN]]</f>
        <v>0</v>
      </c>
      <c r="J43" s="6">
        <f>UnitsTable[[#This Row],[Pharmacist]]*CodeRatesTable[[#This Row],[Pharmacist]]</f>
        <v>0</v>
      </c>
      <c r="K43" s="6">
        <f>UnitsTable[[#This Row],[Licensed Psychiatric Technician]]*CodeRatesTable[[#This Row],[Licensed Psychiatric Technician]]</f>
        <v>0</v>
      </c>
      <c r="L43" s="6">
        <f>UnitsTable[[#This Row],[Psychologist/Pre-licensed Psychologist]]*CodeRatesTable[[#This Row],[Psychologist/Pre-licensed Psychologist]]</f>
        <v>0</v>
      </c>
      <c r="M43" s="6">
        <f>UnitsTable[[#This Row],[LPHA (MFT  LCSW  LPCC)/ Intern or Waivered LPHA (MFT  LCSW  LPCC)]]*CodeRatesTable[[#This Row],[LPHA (MFT  LCSW  LPCC)/ Intern or Waivered LPHA (MFT  LCSW  LPCC)]]</f>
        <v>0</v>
      </c>
      <c r="N43" s="6">
        <f>UnitsTable[[#This Row],[Occupational Therapist]]*CodeRatesTable[[#This Row],[Occupational Therapist]]</f>
        <v>0</v>
      </c>
      <c r="O43" s="6">
        <f>UnitsTable[[#This Row],[Mental Health Rehab Specialist]]*CodeRatesTable[[#This Row],[Mental Health Rehab Specialist]]</f>
        <v>0</v>
      </c>
      <c r="P43" s="6">
        <f>UnitsTable[[#This Row],[Peer Recovery Specialist]]*CodeRatesTable[[#This Row],[Peer Recovery Specialist]]</f>
        <v>0</v>
      </c>
      <c r="Q43" s="6">
        <f>UnitsTable[[#This Row],[Other Qualified Providers - Other Designated MH staff that bill medical]]*CodeRatesTable[[#This Row],[Other Qualified Providers - Other Designated MH staff that bill medical]]</f>
        <v>0</v>
      </c>
      <c r="R43" s="6">
        <f>SUM(RevenueTable[[#This Row],[Psychiatrist/ Contracted Psychiatrist]:[Other Qualified Providers - Other Designated MH staff that bill medical]])</f>
        <v>0</v>
      </c>
    </row>
    <row r="44" spans="1:18" hidden="1" x14ac:dyDescent="0.25">
      <c r="A44" s="6" t="str">
        <f>INDEX(CodeMinutesTable[Frequently Used],MATCH(RevenueTable[[#This Row],[Billing Code]],CodeMinutesTable[Code],0))</f>
        <v>No</v>
      </c>
      <c r="B44" s="3" t="s">
        <v>122</v>
      </c>
      <c r="C44" t="s">
        <v>123</v>
      </c>
      <c r="D44" s="6">
        <f>UnitsTable[[#This Row],[Psychiatrist/ Contracted Psychiatrist]]*CodeRatesTable[[#This Row],[Psychiatrist/ Contracted Psychiatrist]]</f>
        <v>0</v>
      </c>
      <c r="E44" s="6">
        <f>UnitsTable[[#This Row],[Physicians Assistant]]*CodeRatesTable[[#This Row],[Physicians Assistant]]</f>
        <v>0</v>
      </c>
      <c r="F44" s="6">
        <f>UnitsTable[[#This Row],[Nurse Practitioner]]*CodeRatesTable[[#This Row],[Nurse Practitioner]]</f>
        <v>0</v>
      </c>
      <c r="G44" s="6">
        <f>UnitsTable[[#This Row],[RN]]*CodeRatesTable[[#This Row],[RN]]</f>
        <v>0</v>
      </c>
      <c r="H44" s="6">
        <f>UnitsTable[[#This Row],[Certified Nurse Specialist]]*CodeRatesTable[[#This Row],[Certified Nurse Specialist]]</f>
        <v>0</v>
      </c>
      <c r="I44" s="6">
        <f>UnitsTable[[#This Row],[LVN]]*CodeRatesTable[[#This Row],[LVN]]</f>
        <v>0</v>
      </c>
      <c r="J44" s="6">
        <f>UnitsTable[[#This Row],[Pharmacist]]*CodeRatesTable[[#This Row],[Pharmacist]]</f>
        <v>0</v>
      </c>
      <c r="K44" s="6">
        <f>UnitsTable[[#This Row],[Licensed Psychiatric Technician]]*CodeRatesTable[[#This Row],[Licensed Psychiatric Technician]]</f>
        <v>0</v>
      </c>
      <c r="L44" s="6">
        <f>UnitsTable[[#This Row],[Psychologist/Pre-licensed Psychologist]]*CodeRatesTable[[#This Row],[Psychologist/Pre-licensed Psychologist]]</f>
        <v>0</v>
      </c>
      <c r="M44" s="6">
        <f>UnitsTable[[#This Row],[LPHA (MFT  LCSW  LPCC)/ Intern or Waivered LPHA (MFT  LCSW  LPCC)]]*CodeRatesTable[[#This Row],[LPHA (MFT  LCSW  LPCC)/ Intern or Waivered LPHA (MFT  LCSW  LPCC)]]</f>
        <v>0</v>
      </c>
      <c r="N44" s="6">
        <f>UnitsTable[[#This Row],[Occupational Therapist]]*CodeRatesTable[[#This Row],[Occupational Therapist]]</f>
        <v>0</v>
      </c>
      <c r="O44" s="6">
        <f>UnitsTable[[#This Row],[Mental Health Rehab Specialist]]*CodeRatesTable[[#This Row],[Mental Health Rehab Specialist]]</f>
        <v>0</v>
      </c>
      <c r="P44" s="6">
        <f>UnitsTable[[#This Row],[Peer Recovery Specialist]]*CodeRatesTable[[#This Row],[Peer Recovery Specialist]]</f>
        <v>0</v>
      </c>
      <c r="Q44" s="6">
        <f>UnitsTable[[#This Row],[Other Qualified Providers - Other Designated MH staff that bill medical]]*CodeRatesTable[[#This Row],[Other Qualified Providers - Other Designated MH staff that bill medical]]</f>
        <v>0</v>
      </c>
      <c r="R44" s="6">
        <f>SUM(RevenueTable[[#This Row],[Psychiatrist/ Contracted Psychiatrist]:[Other Qualified Providers - Other Designated MH staff that bill medical]])</f>
        <v>0</v>
      </c>
    </row>
    <row r="45" spans="1:18" hidden="1" x14ac:dyDescent="0.25">
      <c r="A45" s="6" t="str">
        <f>INDEX(CodeMinutesTable[Frequently Used],MATCH(RevenueTable[[#This Row],[Billing Code]],CodeMinutesTable[Code],0))</f>
        <v>No</v>
      </c>
      <c r="B45" s="3" t="s">
        <v>124</v>
      </c>
      <c r="C45" t="s">
        <v>125</v>
      </c>
      <c r="D45" s="6">
        <f>UnitsTable[[#This Row],[Psychiatrist/ Contracted Psychiatrist]]*CodeRatesTable[[#This Row],[Psychiatrist/ Contracted Psychiatrist]]</f>
        <v>0</v>
      </c>
      <c r="E45" s="6">
        <f>UnitsTable[[#This Row],[Physicians Assistant]]*CodeRatesTable[[#This Row],[Physicians Assistant]]</f>
        <v>0</v>
      </c>
      <c r="F45" s="6">
        <f>UnitsTable[[#This Row],[Nurse Practitioner]]*CodeRatesTable[[#This Row],[Nurse Practitioner]]</f>
        <v>0</v>
      </c>
      <c r="G45" s="6">
        <f>UnitsTable[[#This Row],[RN]]*CodeRatesTable[[#This Row],[RN]]</f>
        <v>0</v>
      </c>
      <c r="H45" s="6">
        <f>UnitsTable[[#This Row],[Certified Nurse Specialist]]*CodeRatesTable[[#This Row],[Certified Nurse Specialist]]</f>
        <v>0</v>
      </c>
      <c r="I45" s="6">
        <f>UnitsTable[[#This Row],[LVN]]*CodeRatesTable[[#This Row],[LVN]]</f>
        <v>0</v>
      </c>
      <c r="J45" s="6">
        <f>UnitsTable[[#This Row],[Pharmacist]]*CodeRatesTable[[#This Row],[Pharmacist]]</f>
        <v>0</v>
      </c>
      <c r="K45" s="6">
        <f>UnitsTable[[#This Row],[Licensed Psychiatric Technician]]*CodeRatesTable[[#This Row],[Licensed Psychiatric Technician]]</f>
        <v>0</v>
      </c>
      <c r="L45" s="6">
        <f>UnitsTable[[#This Row],[Psychologist/Pre-licensed Psychologist]]*CodeRatesTable[[#This Row],[Psychologist/Pre-licensed Psychologist]]</f>
        <v>0</v>
      </c>
      <c r="M45" s="6">
        <f>UnitsTable[[#This Row],[LPHA (MFT  LCSW  LPCC)/ Intern or Waivered LPHA (MFT  LCSW  LPCC)]]*CodeRatesTable[[#This Row],[LPHA (MFT  LCSW  LPCC)/ Intern or Waivered LPHA (MFT  LCSW  LPCC)]]</f>
        <v>0</v>
      </c>
      <c r="N45" s="6">
        <f>UnitsTable[[#This Row],[Occupational Therapist]]*CodeRatesTable[[#This Row],[Occupational Therapist]]</f>
        <v>0</v>
      </c>
      <c r="O45" s="6">
        <f>UnitsTable[[#This Row],[Mental Health Rehab Specialist]]*CodeRatesTable[[#This Row],[Mental Health Rehab Specialist]]</f>
        <v>0</v>
      </c>
      <c r="P45" s="6">
        <f>UnitsTable[[#This Row],[Peer Recovery Specialist]]*CodeRatesTable[[#This Row],[Peer Recovery Specialist]]</f>
        <v>0</v>
      </c>
      <c r="Q45" s="6">
        <f>UnitsTable[[#This Row],[Other Qualified Providers - Other Designated MH staff that bill medical]]*CodeRatesTable[[#This Row],[Other Qualified Providers - Other Designated MH staff that bill medical]]</f>
        <v>0</v>
      </c>
      <c r="R45" s="6">
        <f>SUM(RevenueTable[[#This Row],[Psychiatrist/ Contracted Psychiatrist]:[Other Qualified Providers - Other Designated MH staff that bill medical]])</f>
        <v>0</v>
      </c>
    </row>
    <row r="46" spans="1:18" hidden="1" x14ac:dyDescent="0.25">
      <c r="A46" s="6" t="str">
        <f>INDEX(CodeMinutesTable[Frequently Used],MATCH(RevenueTable[[#This Row],[Billing Code]],CodeMinutesTable[Code],0))</f>
        <v>No</v>
      </c>
      <c r="B46" s="3" t="s">
        <v>126</v>
      </c>
      <c r="C46" t="s">
        <v>127</v>
      </c>
      <c r="D46" s="6">
        <f>UnitsTable[[#This Row],[Psychiatrist/ Contracted Psychiatrist]]*CodeRatesTable[[#This Row],[Psychiatrist/ Contracted Psychiatrist]]</f>
        <v>0</v>
      </c>
      <c r="E46" s="6">
        <f>UnitsTable[[#This Row],[Physicians Assistant]]*CodeRatesTable[[#This Row],[Physicians Assistant]]</f>
        <v>0</v>
      </c>
      <c r="F46" s="6">
        <f>UnitsTable[[#This Row],[Nurse Practitioner]]*CodeRatesTable[[#This Row],[Nurse Practitioner]]</f>
        <v>0</v>
      </c>
      <c r="G46" s="6">
        <f>UnitsTable[[#This Row],[RN]]*CodeRatesTable[[#This Row],[RN]]</f>
        <v>0</v>
      </c>
      <c r="H46" s="6">
        <f>UnitsTable[[#This Row],[Certified Nurse Specialist]]*CodeRatesTable[[#This Row],[Certified Nurse Specialist]]</f>
        <v>0</v>
      </c>
      <c r="I46" s="6">
        <f>UnitsTable[[#This Row],[LVN]]*CodeRatesTable[[#This Row],[LVN]]</f>
        <v>0</v>
      </c>
      <c r="J46" s="6">
        <f>UnitsTable[[#This Row],[Pharmacist]]*CodeRatesTable[[#This Row],[Pharmacist]]</f>
        <v>0</v>
      </c>
      <c r="K46" s="6">
        <f>UnitsTable[[#This Row],[Licensed Psychiatric Technician]]*CodeRatesTable[[#This Row],[Licensed Psychiatric Technician]]</f>
        <v>0</v>
      </c>
      <c r="L46" s="6">
        <f>UnitsTable[[#This Row],[Psychologist/Pre-licensed Psychologist]]*CodeRatesTable[[#This Row],[Psychologist/Pre-licensed Psychologist]]</f>
        <v>0</v>
      </c>
      <c r="M46" s="6">
        <f>UnitsTable[[#This Row],[LPHA (MFT  LCSW  LPCC)/ Intern or Waivered LPHA (MFT  LCSW  LPCC)]]*CodeRatesTable[[#This Row],[LPHA (MFT  LCSW  LPCC)/ Intern or Waivered LPHA (MFT  LCSW  LPCC)]]</f>
        <v>0</v>
      </c>
      <c r="N46" s="6">
        <f>UnitsTable[[#This Row],[Occupational Therapist]]*CodeRatesTable[[#This Row],[Occupational Therapist]]</f>
        <v>0</v>
      </c>
      <c r="O46" s="6">
        <f>UnitsTable[[#This Row],[Mental Health Rehab Specialist]]*CodeRatesTable[[#This Row],[Mental Health Rehab Specialist]]</f>
        <v>0</v>
      </c>
      <c r="P46" s="6">
        <f>UnitsTable[[#This Row],[Peer Recovery Specialist]]*CodeRatesTable[[#This Row],[Peer Recovery Specialist]]</f>
        <v>0</v>
      </c>
      <c r="Q46" s="6">
        <f>UnitsTable[[#This Row],[Other Qualified Providers - Other Designated MH staff that bill medical]]*CodeRatesTable[[#This Row],[Other Qualified Providers - Other Designated MH staff that bill medical]]</f>
        <v>0</v>
      </c>
      <c r="R46" s="6">
        <f>SUM(RevenueTable[[#This Row],[Psychiatrist/ Contracted Psychiatrist]:[Other Qualified Providers - Other Designated MH staff that bill medical]])</f>
        <v>0</v>
      </c>
    </row>
    <row r="47" spans="1:18" hidden="1" x14ac:dyDescent="0.25">
      <c r="A47" s="6" t="str">
        <f>INDEX(CodeMinutesTable[Frequently Used],MATCH(RevenueTable[[#This Row],[Billing Code]],CodeMinutesTable[Code],0))</f>
        <v>No</v>
      </c>
      <c r="B47" s="3" t="s">
        <v>128</v>
      </c>
      <c r="C47" t="s">
        <v>129</v>
      </c>
      <c r="D47" s="6">
        <f>UnitsTable[[#This Row],[Psychiatrist/ Contracted Psychiatrist]]*CodeRatesTable[[#This Row],[Psychiatrist/ Contracted Psychiatrist]]</f>
        <v>0</v>
      </c>
      <c r="E47" s="6">
        <f>UnitsTable[[#This Row],[Physicians Assistant]]*CodeRatesTable[[#This Row],[Physicians Assistant]]</f>
        <v>0</v>
      </c>
      <c r="F47" s="6">
        <f>UnitsTable[[#This Row],[Nurse Practitioner]]*CodeRatesTable[[#This Row],[Nurse Practitioner]]</f>
        <v>0</v>
      </c>
      <c r="G47" s="6">
        <f>UnitsTable[[#This Row],[RN]]*CodeRatesTable[[#This Row],[RN]]</f>
        <v>0</v>
      </c>
      <c r="H47" s="6">
        <f>UnitsTable[[#This Row],[Certified Nurse Specialist]]*CodeRatesTable[[#This Row],[Certified Nurse Specialist]]</f>
        <v>0</v>
      </c>
      <c r="I47" s="6">
        <f>UnitsTable[[#This Row],[LVN]]*CodeRatesTable[[#This Row],[LVN]]</f>
        <v>0</v>
      </c>
      <c r="J47" s="6">
        <f>UnitsTable[[#This Row],[Pharmacist]]*CodeRatesTable[[#This Row],[Pharmacist]]</f>
        <v>0</v>
      </c>
      <c r="K47" s="6">
        <f>UnitsTable[[#This Row],[Licensed Psychiatric Technician]]*CodeRatesTable[[#This Row],[Licensed Psychiatric Technician]]</f>
        <v>0</v>
      </c>
      <c r="L47" s="6">
        <f>UnitsTable[[#This Row],[Psychologist/Pre-licensed Psychologist]]*CodeRatesTable[[#This Row],[Psychologist/Pre-licensed Psychologist]]</f>
        <v>0</v>
      </c>
      <c r="M47" s="6">
        <f>UnitsTable[[#This Row],[LPHA (MFT  LCSW  LPCC)/ Intern or Waivered LPHA (MFT  LCSW  LPCC)]]*CodeRatesTable[[#This Row],[LPHA (MFT  LCSW  LPCC)/ Intern or Waivered LPHA (MFT  LCSW  LPCC)]]</f>
        <v>0</v>
      </c>
      <c r="N47" s="6">
        <f>UnitsTable[[#This Row],[Occupational Therapist]]*CodeRatesTable[[#This Row],[Occupational Therapist]]</f>
        <v>0</v>
      </c>
      <c r="O47" s="6">
        <f>UnitsTable[[#This Row],[Mental Health Rehab Specialist]]*CodeRatesTable[[#This Row],[Mental Health Rehab Specialist]]</f>
        <v>0</v>
      </c>
      <c r="P47" s="6">
        <f>UnitsTable[[#This Row],[Peer Recovery Specialist]]*CodeRatesTable[[#This Row],[Peer Recovery Specialist]]</f>
        <v>0</v>
      </c>
      <c r="Q47" s="6">
        <f>UnitsTable[[#This Row],[Other Qualified Providers - Other Designated MH staff that bill medical]]*CodeRatesTable[[#This Row],[Other Qualified Providers - Other Designated MH staff that bill medical]]</f>
        <v>0</v>
      </c>
      <c r="R47" s="6">
        <f>SUM(RevenueTable[[#This Row],[Psychiatrist/ Contracted Psychiatrist]:[Other Qualified Providers - Other Designated MH staff that bill medical]])</f>
        <v>0</v>
      </c>
    </row>
    <row r="48" spans="1:18" hidden="1" x14ac:dyDescent="0.25">
      <c r="A48" s="6" t="str">
        <f>INDEX(CodeMinutesTable[Frequently Used],MATCH(RevenueTable[[#This Row],[Billing Code]],CodeMinutesTable[Code],0))</f>
        <v>No</v>
      </c>
      <c r="B48" s="3" t="s">
        <v>130</v>
      </c>
      <c r="C48" t="s">
        <v>131</v>
      </c>
      <c r="D48" s="6">
        <f>UnitsTable[[#This Row],[Psychiatrist/ Contracted Psychiatrist]]*CodeRatesTable[[#This Row],[Psychiatrist/ Contracted Psychiatrist]]</f>
        <v>0</v>
      </c>
      <c r="E48" s="6">
        <f>UnitsTable[[#This Row],[Physicians Assistant]]*CodeRatesTable[[#This Row],[Physicians Assistant]]</f>
        <v>0</v>
      </c>
      <c r="F48" s="6">
        <f>UnitsTable[[#This Row],[Nurse Practitioner]]*CodeRatesTable[[#This Row],[Nurse Practitioner]]</f>
        <v>0</v>
      </c>
      <c r="G48" s="6">
        <f>UnitsTable[[#This Row],[RN]]*CodeRatesTable[[#This Row],[RN]]</f>
        <v>0</v>
      </c>
      <c r="H48" s="6">
        <f>UnitsTable[[#This Row],[Certified Nurse Specialist]]*CodeRatesTable[[#This Row],[Certified Nurse Specialist]]</f>
        <v>0</v>
      </c>
      <c r="I48" s="6">
        <f>UnitsTable[[#This Row],[LVN]]*CodeRatesTable[[#This Row],[LVN]]</f>
        <v>0</v>
      </c>
      <c r="J48" s="6">
        <f>UnitsTable[[#This Row],[Pharmacist]]*CodeRatesTable[[#This Row],[Pharmacist]]</f>
        <v>0</v>
      </c>
      <c r="K48" s="6">
        <f>UnitsTable[[#This Row],[Licensed Psychiatric Technician]]*CodeRatesTable[[#This Row],[Licensed Psychiatric Technician]]</f>
        <v>0</v>
      </c>
      <c r="L48" s="6">
        <f>UnitsTable[[#This Row],[Psychologist/Pre-licensed Psychologist]]*CodeRatesTable[[#This Row],[Psychologist/Pre-licensed Psychologist]]</f>
        <v>0</v>
      </c>
      <c r="M48" s="6">
        <f>UnitsTable[[#This Row],[LPHA (MFT  LCSW  LPCC)/ Intern or Waivered LPHA (MFT  LCSW  LPCC)]]*CodeRatesTable[[#This Row],[LPHA (MFT  LCSW  LPCC)/ Intern or Waivered LPHA (MFT  LCSW  LPCC)]]</f>
        <v>0</v>
      </c>
      <c r="N48" s="6">
        <f>UnitsTable[[#This Row],[Occupational Therapist]]*CodeRatesTable[[#This Row],[Occupational Therapist]]</f>
        <v>0</v>
      </c>
      <c r="O48" s="6">
        <f>UnitsTable[[#This Row],[Mental Health Rehab Specialist]]*CodeRatesTable[[#This Row],[Mental Health Rehab Specialist]]</f>
        <v>0</v>
      </c>
      <c r="P48" s="6">
        <f>UnitsTable[[#This Row],[Peer Recovery Specialist]]*CodeRatesTable[[#This Row],[Peer Recovery Specialist]]</f>
        <v>0</v>
      </c>
      <c r="Q48" s="6">
        <f>UnitsTable[[#This Row],[Other Qualified Providers - Other Designated MH staff that bill medical]]*CodeRatesTable[[#This Row],[Other Qualified Providers - Other Designated MH staff that bill medical]]</f>
        <v>0</v>
      </c>
      <c r="R48" s="6">
        <f>SUM(RevenueTable[[#This Row],[Psychiatrist/ Contracted Psychiatrist]:[Other Qualified Providers - Other Designated MH staff that bill medical]])</f>
        <v>0</v>
      </c>
    </row>
    <row r="49" spans="1:18" hidden="1" x14ac:dyDescent="0.25">
      <c r="A49" s="6" t="str">
        <f>INDEX(CodeMinutesTable[Frequently Used],MATCH(RevenueTable[[#This Row],[Billing Code]],CodeMinutesTable[Code],0))</f>
        <v>No</v>
      </c>
      <c r="B49" s="3" t="s">
        <v>132</v>
      </c>
      <c r="C49" t="s">
        <v>133</v>
      </c>
      <c r="D49" s="6">
        <f>UnitsTable[[#This Row],[Psychiatrist/ Contracted Psychiatrist]]*CodeRatesTable[[#This Row],[Psychiatrist/ Contracted Psychiatrist]]</f>
        <v>0</v>
      </c>
      <c r="E49" s="6">
        <f>UnitsTable[[#This Row],[Physicians Assistant]]*CodeRatesTable[[#This Row],[Physicians Assistant]]</f>
        <v>0</v>
      </c>
      <c r="F49" s="6">
        <f>UnitsTable[[#This Row],[Nurse Practitioner]]*CodeRatesTable[[#This Row],[Nurse Practitioner]]</f>
        <v>0</v>
      </c>
      <c r="G49" s="6">
        <f>UnitsTable[[#This Row],[RN]]*CodeRatesTable[[#This Row],[RN]]</f>
        <v>0</v>
      </c>
      <c r="H49" s="6">
        <f>UnitsTable[[#This Row],[Certified Nurse Specialist]]*CodeRatesTable[[#This Row],[Certified Nurse Specialist]]</f>
        <v>0</v>
      </c>
      <c r="I49" s="6">
        <f>UnitsTable[[#This Row],[LVN]]*CodeRatesTable[[#This Row],[LVN]]</f>
        <v>0</v>
      </c>
      <c r="J49" s="6">
        <f>UnitsTable[[#This Row],[Pharmacist]]*CodeRatesTable[[#This Row],[Pharmacist]]</f>
        <v>0</v>
      </c>
      <c r="K49" s="6">
        <f>UnitsTable[[#This Row],[Licensed Psychiatric Technician]]*CodeRatesTable[[#This Row],[Licensed Psychiatric Technician]]</f>
        <v>0</v>
      </c>
      <c r="L49" s="6">
        <f>UnitsTable[[#This Row],[Psychologist/Pre-licensed Psychologist]]*CodeRatesTable[[#This Row],[Psychologist/Pre-licensed Psychologist]]</f>
        <v>0</v>
      </c>
      <c r="M49" s="6">
        <f>UnitsTable[[#This Row],[LPHA (MFT  LCSW  LPCC)/ Intern or Waivered LPHA (MFT  LCSW  LPCC)]]*CodeRatesTable[[#This Row],[LPHA (MFT  LCSW  LPCC)/ Intern or Waivered LPHA (MFT  LCSW  LPCC)]]</f>
        <v>0</v>
      </c>
      <c r="N49" s="6">
        <f>UnitsTable[[#This Row],[Occupational Therapist]]*CodeRatesTable[[#This Row],[Occupational Therapist]]</f>
        <v>0</v>
      </c>
      <c r="O49" s="6">
        <f>UnitsTable[[#This Row],[Mental Health Rehab Specialist]]*CodeRatesTable[[#This Row],[Mental Health Rehab Specialist]]</f>
        <v>0</v>
      </c>
      <c r="P49" s="6">
        <f>UnitsTable[[#This Row],[Peer Recovery Specialist]]*CodeRatesTable[[#This Row],[Peer Recovery Specialist]]</f>
        <v>0</v>
      </c>
      <c r="Q49" s="6">
        <f>UnitsTable[[#This Row],[Other Qualified Providers - Other Designated MH staff that bill medical]]*CodeRatesTable[[#This Row],[Other Qualified Providers - Other Designated MH staff that bill medical]]</f>
        <v>0</v>
      </c>
      <c r="R49" s="6">
        <f>SUM(RevenueTable[[#This Row],[Psychiatrist/ Contracted Psychiatrist]:[Other Qualified Providers - Other Designated MH staff that bill medical]])</f>
        <v>0</v>
      </c>
    </row>
    <row r="50" spans="1:18" hidden="1" x14ac:dyDescent="0.25">
      <c r="A50" s="6" t="str">
        <f>INDEX(CodeMinutesTable[Frequently Used],MATCH(RevenueTable[[#This Row],[Billing Code]],CodeMinutesTable[Code],0))</f>
        <v>No</v>
      </c>
      <c r="B50" s="3" t="s">
        <v>134</v>
      </c>
      <c r="C50" t="s">
        <v>135</v>
      </c>
      <c r="D50" s="6">
        <f>UnitsTable[[#This Row],[Psychiatrist/ Contracted Psychiatrist]]*CodeRatesTable[[#This Row],[Psychiatrist/ Contracted Psychiatrist]]</f>
        <v>0</v>
      </c>
      <c r="E50" s="6">
        <f>UnitsTable[[#This Row],[Physicians Assistant]]*CodeRatesTable[[#This Row],[Physicians Assistant]]</f>
        <v>0</v>
      </c>
      <c r="F50" s="6">
        <f>UnitsTable[[#This Row],[Nurse Practitioner]]*CodeRatesTable[[#This Row],[Nurse Practitioner]]</f>
        <v>0</v>
      </c>
      <c r="G50" s="6">
        <f>UnitsTable[[#This Row],[RN]]*CodeRatesTable[[#This Row],[RN]]</f>
        <v>0</v>
      </c>
      <c r="H50" s="6">
        <f>UnitsTable[[#This Row],[Certified Nurse Specialist]]*CodeRatesTable[[#This Row],[Certified Nurse Specialist]]</f>
        <v>0</v>
      </c>
      <c r="I50" s="6">
        <f>UnitsTable[[#This Row],[LVN]]*CodeRatesTable[[#This Row],[LVN]]</f>
        <v>0</v>
      </c>
      <c r="J50" s="6">
        <f>UnitsTable[[#This Row],[Pharmacist]]*CodeRatesTable[[#This Row],[Pharmacist]]</f>
        <v>0</v>
      </c>
      <c r="K50" s="6">
        <f>UnitsTable[[#This Row],[Licensed Psychiatric Technician]]*CodeRatesTable[[#This Row],[Licensed Psychiatric Technician]]</f>
        <v>0</v>
      </c>
      <c r="L50" s="6">
        <f>UnitsTable[[#This Row],[Psychologist/Pre-licensed Psychologist]]*CodeRatesTable[[#This Row],[Psychologist/Pre-licensed Psychologist]]</f>
        <v>0</v>
      </c>
      <c r="M50" s="6">
        <f>UnitsTable[[#This Row],[LPHA (MFT  LCSW  LPCC)/ Intern or Waivered LPHA (MFT  LCSW  LPCC)]]*CodeRatesTable[[#This Row],[LPHA (MFT  LCSW  LPCC)/ Intern or Waivered LPHA (MFT  LCSW  LPCC)]]</f>
        <v>0</v>
      </c>
      <c r="N50" s="6">
        <f>UnitsTable[[#This Row],[Occupational Therapist]]*CodeRatesTable[[#This Row],[Occupational Therapist]]</f>
        <v>0</v>
      </c>
      <c r="O50" s="6">
        <f>UnitsTable[[#This Row],[Mental Health Rehab Specialist]]*CodeRatesTable[[#This Row],[Mental Health Rehab Specialist]]</f>
        <v>0</v>
      </c>
      <c r="P50" s="6">
        <f>UnitsTable[[#This Row],[Peer Recovery Specialist]]*CodeRatesTable[[#This Row],[Peer Recovery Specialist]]</f>
        <v>0</v>
      </c>
      <c r="Q50" s="6">
        <f>UnitsTable[[#This Row],[Other Qualified Providers - Other Designated MH staff that bill medical]]*CodeRatesTable[[#This Row],[Other Qualified Providers - Other Designated MH staff that bill medical]]</f>
        <v>0</v>
      </c>
      <c r="R50" s="6">
        <f>SUM(RevenueTable[[#This Row],[Psychiatrist/ Contracted Psychiatrist]:[Other Qualified Providers - Other Designated MH staff that bill medical]])</f>
        <v>0</v>
      </c>
    </row>
    <row r="51" spans="1:18" hidden="1" x14ac:dyDescent="0.25">
      <c r="A51" s="6" t="str">
        <f>INDEX(CodeMinutesTable[Frequently Used],MATCH(RevenueTable[[#This Row],[Billing Code]],CodeMinutesTable[Code],0))</f>
        <v>No</v>
      </c>
      <c r="B51" s="3" t="s">
        <v>136</v>
      </c>
      <c r="C51" t="s">
        <v>137</v>
      </c>
      <c r="D51" s="6">
        <f>UnitsTable[[#This Row],[Psychiatrist/ Contracted Psychiatrist]]*CodeRatesTable[[#This Row],[Psychiatrist/ Contracted Psychiatrist]]</f>
        <v>0</v>
      </c>
      <c r="E51" s="6">
        <f>UnitsTable[[#This Row],[Physicians Assistant]]*CodeRatesTable[[#This Row],[Physicians Assistant]]</f>
        <v>0</v>
      </c>
      <c r="F51" s="6">
        <f>UnitsTable[[#This Row],[Nurse Practitioner]]*CodeRatesTable[[#This Row],[Nurse Practitioner]]</f>
        <v>0</v>
      </c>
      <c r="G51" s="6">
        <f>UnitsTable[[#This Row],[RN]]*CodeRatesTable[[#This Row],[RN]]</f>
        <v>0</v>
      </c>
      <c r="H51" s="6">
        <f>UnitsTable[[#This Row],[Certified Nurse Specialist]]*CodeRatesTable[[#This Row],[Certified Nurse Specialist]]</f>
        <v>0</v>
      </c>
      <c r="I51" s="6">
        <f>UnitsTable[[#This Row],[LVN]]*CodeRatesTable[[#This Row],[LVN]]</f>
        <v>0</v>
      </c>
      <c r="J51" s="6">
        <f>UnitsTable[[#This Row],[Pharmacist]]*CodeRatesTable[[#This Row],[Pharmacist]]</f>
        <v>0</v>
      </c>
      <c r="K51" s="6">
        <f>UnitsTable[[#This Row],[Licensed Psychiatric Technician]]*CodeRatesTable[[#This Row],[Licensed Psychiatric Technician]]</f>
        <v>0</v>
      </c>
      <c r="L51" s="6">
        <f>UnitsTable[[#This Row],[Psychologist/Pre-licensed Psychologist]]*CodeRatesTable[[#This Row],[Psychologist/Pre-licensed Psychologist]]</f>
        <v>0</v>
      </c>
      <c r="M51" s="6">
        <f>UnitsTable[[#This Row],[LPHA (MFT  LCSW  LPCC)/ Intern or Waivered LPHA (MFT  LCSW  LPCC)]]*CodeRatesTable[[#This Row],[LPHA (MFT  LCSW  LPCC)/ Intern or Waivered LPHA (MFT  LCSW  LPCC)]]</f>
        <v>0</v>
      </c>
      <c r="N51" s="6">
        <f>UnitsTable[[#This Row],[Occupational Therapist]]*CodeRatesTable[[#This Row],[Occupational Therapist]]</f>
        <v>0</v>
      </c>
      <c r="O51" s="6">
        <f>UnitsTable[[#This Row],[Mental Health Rehab Specialist]]*CodeRatesTable[[#This Row],[Mental Health Rehab Specialist]]</f>
        <v>0</v>
      </c>
      <c r="P51" s="6">
        <f>UnitsTable[[#This Row],[Peer Recovery Specialist]]*CodeRatesTable[[#This Row],[Peer Recovery Specialist]]</f>
        <v>0</v>
      </c>
      <c r="Q51" s="6">
        <f>UnitsTable[[#This Row],[Other Qualified Providers - Other Designated MH staff that bill medical]]*CodeRatesTable[[#This Row],[Other Qualified Providers - Other Designated MH staff that bill medical]]</f>
        <v>0</v>
      </c>
      <c r="R51" s="6">
        <f>SUM(RevenueTable[[#This Row],[Psychiatrist/ Contracted Psychiatrist]:[Other Qualified Providers - Other Designated MH staff that bill medical]])</f>
        <v>0</v>
      </c>
    </row>
    <row r="52" spans="1:18" hidden="1" x14ac:dyDescent="0.25">
      <c r="A52" s="6" t="str">
        <f>INDEX(CodeMinutesTable[Frequently Used],MATCH(RevenueTable[[#This Row],[Billing Code]],CodeMinutesTable[Code],0))</f>
        <v>No</v>
      </c>
      <c r="B52" s="3" t="s">
        <v>138</v>
      </c>
      <c r="C52" t="s">
        <v>139</v>
      </c>
      <c r="D52" s="6">
        <f>UnitsTable[[#This Row],[Psychiatrist/ Contracted Psychiatrist]]*CodeRatesTable[[#This Row],[Psychiatrist/ Contracted Psychiatrist]]</f>
        <v>0</v>
      </c>
      <c r="E52" s="6">
        <f>UnitsTable[[#This Row],[Physicians Assistant]]*CodeRatesTable[[#This Row],[Physicians Assistant]]</f>
        <v>0</v>
      </c>
      <c r="F52" s="6">
        <f>UnitsTable[[#This Row],[Nurse Practitioner]]*CodeRatesTable[[#This Row],[Nurse Practitioner]]</f>
        <v>0</v>
      </c>
      <c r="G52" s="6">
        <f>UnitsTable[[#This Row],[RN]]*CodeRatesTable[[#This Row],[RN]]</f>
        <v>0</v>
      </c>
      <c r="H52" s="6">
        <f>UnitsTable[[#This Row],[Certified Nurse Specialist]]*CodeRatesTable[[#This Row],[Certified Nurse Specialist]]</f>
        <v>0</v>
      </c>
      <c r="I52" s="6">
        <f>UnitsTable[[#This Row],[LVN]]*CodeRatesTable[[#This Row],[LVN]]</f>
        <v>0</v>
      </c>
      <c r="J52" s="6">
        <f>UnitsTable[[#This Row],[Pharmacist]]*CodeRatesTable[[#This Row],[Pharmacist]]</f>
        <v>0</v>
      </c>
      <c r="K52" s="6">
        <f>UnitsTable[[#This Row],[Licensed Psychiatric Technician]]*CodeRatesTable[[#This Row],[Licensed Psychiatric Technician]]</f>
        <v>0</v>
      </c>
      <c r="L52" s="6">
        <f>UnitsTable[[#This Row],[Psychologist/Pre-licensed Psychologist]]*CodeRatesTable[[#This Row],[Psychologist/Pre-licensed Psychologist]]</f>
        <v>0</v>
      </c>
      <c r="M52" s="6">
        <f>UnitsTable[[#This Row],[LPHA (MFT  LCSW  LPCC)/ Intern or Waivered LPHA (MFT  LCSW  LPCC)]]*CodeRatesTable[[#This Row],[LPHA (MFT  LCSW  LPCC)/ Intern or Waivered LPHA (MFT  LCSW  LPCC)]]</f>
        <v>0</v>
      </c>
      <c r="N52" s="6">
        <f>UnitsTable[[#This Row],[Occupational Therapist]]*CodeRatesTable[[#This Row],[Occupational Therapist]]</f>
        <v>0</v>
      </c>
      <c r="O52" s="6">
        <f>UnitsTable[[#This Row],[Mental Health Rehab Specialist]]*CodeRatesTable[[#This Row],[Mental Health Rehab Specialist]]</f>
        <v>0</v>
      </c>
      <c r="P52" s="6">
        <f>UnitsTable[[#This Row],[Peer Recovery Specialist]]*CodeRatesTable[[#This Row],[Peer Recovery Specialist]]</f>
        <v>0</v>
      </c>
      <c r="Q52" s="6">
        <f>UnitsTable[[#This Row],[Other Qualified Providers - Other Designated MH staff that bill medical]]*CodeRatesTable[[#This Row],[Other Qualified Providers - Other Designated MH staff that bill medical]]</f>
        <v>0</v>
      </c>
      <c r="R52" s="6">
        <f>SUM(RevenueTable[[#This Row],[Psychiatrist/ Contracted Psychiatrist]:[Other Qualified Providers - Other Designated MH staff that bill medical]])</f>
        <v>0</v>
      </c>
    </row>
    <row r="53" spans="1:18" hidden="1" x14ac:dyDescent="0.25">
      <c r="A53" s="6" t="str">
        <f>INDEX(CodeMinutesTable[Frequently Used],MATCH(RevenueTable[[#This Row],[Billing Code]],CodeMinutesTable[Code],0))</f>
        <v>No</v>
      </c>
      <c r="B53" s="3" t="s">
        <v>140</v>
      </c>
      <c r="C53" t="s">
        <v>141</v>
      </c>
      <c r="D53" s="6">
        <f>UnitsTable[[#This Row],[Psychiatrist/ Contracted Psychiatrist]]*CodeRatesTable[[#This Row],[Psychiatrist/ Contracted Psychiatrist]]</f>
        <v>0</v>
      </c>
      <c r="E53" s="6">
        <f>UnitsTable[[#This Row],[Physicians Assistant]]*CodeRatesTable[[#This Row],[Physicians Assistant]]</f>
        <v>0</v>
      </c>
      <c r="F53" s="6">
        <f>UnitsTable[[#This Row],[Nurse Practitioner]]*CodeRatesTable[[#This Row],[Nurse Practitioner]]</f>
        <v>0</v>
      </c>
      <c r="G53" s="6">
        <f>UnitsTable[[#This Row],[RN]]*CodeRatesTable[[#This Row],[RN]]</f>
        <v>0</v>
      </c>
      <c r="H53" s="6">
        <f>UnitsTable[[#This Row],[Certified Nurse Specialist]]*CodeRatesTable[[#This Row],[Certified Nurse Specialist]]</f>
        <v>0</v>
      </c>
      <c r="I53" s="6">
        <f>UnitsTable[[#This Row],[LVN]]*CodeRatesTable[[#This Row],[LVN]]</f>
        <v>0</v>
      </c>
      <c r="J53" s="6">
        <f>UnitsTable[[#This Row],[Pharmacist]]*CodeRatesTable[[#This Row],[Pharmacist]]</f>
        <v>0</v>
      </c>
      <c r="K53" s="6">
        <f>UnitsTable[[#This Row],[Licensed Psychiatric Technician]]*CodeRatesTable[[#This Row],[Licensed Psychiatric Technician]]</f>
        <v>0</v>
      </c>
      <c r="L53" s="6">
        <f>UnitsTable[[#This Row],[Psychologist/Pre-licensed Psychologist]]*CodeRatesTable[[#This Row],[Psychologist/Pre-licensed Psychologist]]</f>
        <v>0</v>
      </c>
      <c r="M53" s="6">
        <f>UnitsTable[[#This Row],[LPHA (MFT  LCSW  LPCC)/ Intern or Waivered LPHA (MFT  LCSW  LPCC)]]*CodeRatesTable[[#This Row],[LPHA (MFT  LCSW  LPCC)/ Intern or Waivered LPHA (MFT  LCSW  LPCC)]]</f>
        <v>0</v>
      </c>
      <c r="N53" s="6">
        <f>UnitsTable[[#This Row],[Occupational Therapist]]*CodeRatesTable[[#This Row],[Occupational Therapist]]</f>
        <v>0</v>
      </c>
      <c r="O53" s="6">
        <f>UnitsTable[[#This Row],[Mental Health Rehab Specialist]]*CodeRatesTable[[#This Row],[Mental Health Rehab Specialist]]</f>
        <v>0</v>
      </c>
      <c r="P53" s="6">
        <f>UnitsTable[[#This Row],[Peer Recovery Specialist]]*CodeRatesTable[[#This Row],[Peer Recovery Specialist]]</f>
        <v>0</v>
      </c>
      <c r="Q53" s="6">
        <f>UnitsTable[[#This Row],[Other Qualified Providers - Other Designated MH staff that bill medical]]*CodeRatesTable[[#This Row],[Other Qualified Providers - Other Designated MH staff that bill medical]]</f>
        <v>0</v>
      </c>
      <c r="R53" s="6">
        <f>SUM(RevenueTable[[#This Row],[Psychiatrist/ Contracted Psychiatrist]:[Other Qualified Providers - Other Designated MH staff that bill medical]])</f>
        <v>0</v>
      </c>
    </row>
    <row r="54" spans="1:18" hidden="1" x14ac:dyDescent="0.25">
      <c r="A54" s="6" t="str">
        <f>INDEX(CodeMinutesTable[Frequently Used],MATCH(RevenueTable[[#This Row],[Billing Code]],CodeMinutesTable[Code],0))</f>
        <v>No</v>
      </c>
      <c r="B54" s="3" t="s">
        <v>142</v>
      </c>
      <c r="C54" t="s">
        <v>143</v>
      </c>
      <c r="D54" s="6">
        <f>UnitsTable[[#This Row],[Psychiatrist/ Contracted Psychiatrist]]*CodeRatesTable[[#This Row],[Psychiatrist/ Contracted Psychiatrist]]</f>
        <v>0</v>
      </c>
      <c r="E54" s="6">
        <f>UnitsTable[[#This Row],[Physicians Assistant]]*CodeRatesTable[[#This Row],[Physicians Assistant]]</f>
        <v>0</v>
      </c>
      <c r="F54" s="6">
        <f>UnitsTable[[#This Row],[Nurse Practitioner]]*CodeRatesTable[[#This Row],[Nurse Practitioner]]</f>
        <v>0</v>
      </c>
      <c r="G54" s="6">
        <f>UnitsTable[[#This Row],[RN]]*CodeRatesTable[[#This Row],[RN]]</f>
        <v>0</v>
      </c>
      <c r="H54" s="6">
        <f>UnitsTable[[#This Row],[Certified Nurse Specialist]]*CodeRatesTable[[#This Row],[Certified Nurse Specialist]]</f>
        <v>0</v>
      </c>
      <c r="I54" s="6">
        <f>UnitsTable[[#This Row],[LVN]]*CodeRatesTable[[#This Row],[LVN]]</f>
        <v>0</v>
      </c>
      <c r="J54" s="6">
        <f>UnitsTable[[#This Row],[Pharmacist]]*CodeRatesTable[[#This Row],[Pharmacist]]</f>
        <v>0</v>
      </c>
      <c r="K54" s="6">
        <f>UnitsTable[[#This Row],[Licensed Psychiatric Technician]]*CodeRatesTable[[#This Row],[Licensed Psychiatric Technician]]</f>
        <v>0</v>
      </c>
      <c r="L54" s="6">
        <f>UnitsTable[[#This Row],[Psychologist/Pre-licensed Psychologist]]*CodeRatesTable[[#This Row],[Psychologist/Pre-licensed Psychologist]]</f>
        <v>0</v>
      </c>
      <c r="M54" s="6">
        <f>UnitsTable[[#This Row],[LPHA (MFT  LCSW  LPCC)/ Intern or Waivered LPHA (MFT  LCSW  LPCC)]]*CodeRatesTable[[#This Row],[LPHA (MFT  LCSW  LPCC)/ Intern or Waivered LPHA (MFT  LCSW  LPCC)]]</f>
        <v>0</v>
      </c>
      <c r="N54" s="6">
        <f>UnitsTable[[#This Row],[Occupational Therapist]]*CodeRatesTable[[#This Row],[Occupational Therapist]]</f>
        <v>0</v>
      </c>
      <c r="O54" s="6">
        <f>UnitsTable[[#This Row],[Mental Health Rehab Specialist]]*CodeRatesTable[[#This Row],[Mental Health Rehab Specialist]]</f>
        <v>0</v>
      </c>
      <c r="P54" s="6">
        <f>UnitsTable[[#This Row],[Peer Recovery Specialist]]*CodeRatesTable[[#This Row],[Peer Recovery Specialist]]</f>
        <v>0</v>
      </c>
      <c r="Q54" s="6">
        <f>UnitsTable[[#This Row],[Other Qualified Providers - Other Designated MH staff that bill medical]]*CodeRatesTable[[#This Row],[Other Qualified Providers - Other Designated MH staff that bill medical]]</f>
        <v>0</v>
      </c>
      <c r="R54" s="6">
        <f>SUM(RevenueTable[[#This Row],[Psychiatrist/ Contracted Psychiatrist]:[Other Qualified Providers - Other Designated MH staff that bill medical]])</f>
        <v>0</v>
      </c>
    </row>
    <row r="55" spans="1:18" hidden="1" x14ac:dyDescent="0.25">
      <c r="A55" s="6" t="str">
        <f>INDEX(CodeMinutesTable[Frequently Used],MATCH(RevenueTable[[#This Row],[Billing Code]],CodeMinutesTable[Code],0))</f>
        <v>No</v>
      </c>
      <c r="B55" s="3" t="s">
        <v>144</v>
      </c>
      <c r="C55" t="s">
        <v>145</v>
      </c>
      <c r="D55" s="6">
        <f>UnitsTable[[#This Row],[Psychiatrist/ Contracted Psychiatrist]]*CodeRatesTable[[#This Row],[Psychiatrist/ Contracted Psychiatrist]]</f>
        <v>0</v>
      </c>
      <c r="E55" s="6">
        <f>UnitsTable[[#This Row],[Physicians Assistant]]*CodeRatesTable[[#This Row],[Physicians Assistant]]</f>
        <v>0</v>
      </c>
      <c r="F55" s="6">
        <f>UnitsTable[[#This Row],[Nurse Practitioner]]*CodeRatesTable[[#This Row],[Nurse Practitioner]]</f>
        <v>0</v>
      </c>
      <c r="G55" s="6">
        <f>UnitsTable[[#This Row],[RN]]*CodeRatesTable[[#This Row],[RN]]</f>
        <v>0</v>
      </c>
      <c r="H55" s="6">
        <f>UnitsTable[[#This Row],[Certified Nurse Specialist]]*CodeRatesTable[[#This Row],[Certified Nurse Specialist]]</f>
        <v>0</v>
      </c>
      <c r="I55" s="6">
        <f>UnitsTable[[#This Row],[LVN]]*CodeRatesTable[[#This Row],[LVN]]</f>
        <v>0</v>
      </c>
      <c r="J55" s="6">
        <f>UnitsTable[[#This Row],[Pharmacist]]*CodeRatesTable[[#This Row],[Pharmacist]]</f>
        <v>0</v>
      </c>
      <c r="K55" s="6">
        <f>UnitsTable[[#This Row],[Licensed Psychiatric Technician]]*CodeRatesTable[[#This Row],[Licensed Psychiatric Technician]]</f>
        <v>0</v>
      </c>
      <c r="L55" s="6">
        <f>UnitsTable[[#This Row],[Psychologist/Pre-licensed Psychologist]]*CodeRatesTable[[#This Row],[Psychologist/Pre-licensed Psychologist]]</f>
        <v>0</v>
      </c>
      <c r="M55" s="6">
        <f>UnitsTable[[#This Row],[LPHA (MFT  LCSW  LPCC)/ Intern or Waivered LPHA (MFT  LCSW  LPCC)]]*CodeRatesTable[[#This Row],[LPHA (MFT  LCSW  LPCC)/ Intern or Waivered LPHA (MFT  LCSW  LPCC)]]</f>
        <v>0</v>
      </c>
      <c r="N55" s="6">
        <f>UnitsTable[[#This Row],[Occupational Therapist]]*CodeRatesTable[[#This Row],[Occupational Therapist]]</f>
        <v>0</v>
      </c>
      <c r="O55" s="6">
        <f>UnitsTable[[#This Row],[Mental Health Rehab Specialist]]*CodeRatesTable[[#This Row],[Mental Health Rehab Specialist]]</f>
        <v>0</v>
      </c>
      <c r="P55" s="6">
        <f>UnitsTable[[#This Row],[Peer Recovery Specialist]]*CodeRatesTable[[#This Row],[Peer Recovery Specialist]]</f>
        <v>0</v>
      </c>
      <c r="Q55" s="6">
        <f>UnitsTable[[#This Row],[Other Qualified Providers - Other Designated MH staff that bill medical]]*CodeRatesTable[[#This Row],[Other Qualified Providers - Other Designated MH staff that bill medical]]</f>
        <v>0</v>
      </c>
      <c r="R55" s="6">
        <f>SUM(RevenueTable[[#This Row],[Psychiatrist/ Contracted Psychiatrist]:[Other Qualified Providers - Other Designated MH staff that bill medical]])</f>
        <v>0</v>
      </c>
    </row>
    <row r="56" spans="1:18" hidden="1" x14ac:dyDescent="0.25">
      <c r="A56" s="6" t="str">
        <f>INDEX(CodeMinutesTable[Frequently Used],MATCH(RevenueTable[[#This Row],[Billing Code]],CodeMinutesTable[Code],0))</f>
        <v>No</v>
      </c>
      <c r="B56" s="3" t="s">
        <v>146</v>
      </c>
      <c r="C56" t="s">
        <v>147</v>
      </c>
      <c r="D56" s="6">
        <f>UnitsTable[[#This Row],[Psychiatrist/ Contracted Psychiatrist]]*CodeRatesTable[[#This Row],[Psychiatrist/ Contracted Psychiatrist]]</f>
        <v>0</v>
      </c>
      <c r="E56" s="6">
        <f>UnitsTable[[#This Row],[Physicians Assistant]]*CodeRatesTable[[#This Row],[Physicians Assistant]]</f>
        <v>0</v>
      </c>
      <c r="F56" s="6">
        <f>UnitsTable[[#This Row],[Nurse Practitioner]]*CodeRatesTable[[#This Row],[Nurse Practitioner]]</f>
        <v>0</v>
      </c>
      <c r="G56" s="6">
        <f>UnitsTable[[#This Row],[RN]]*CodeRatesTable[[#This Row],[RN]]</f>
        <v>0</v>
      </c>
      <c r="H56" s="6">
        <f>UnitsTable[[#This Row],[Certified Nurse Specialist]]*CodeRatesTable[[#This Row],[Certified Nurse Specialist]]</f>
        <v>0</v>
      </c>
      <c r="I56" s="6">
        <f>UnitsTable[[#This Row],[LVN]]*CodeRatesTable[[#This Row],[LVN]]</f>
        <v>0</v>
      </c>
      <c r="J56" s="6">
        <f>UnitsTable[[#This Row],[Pharmacist]]*CodeRatesTable[[#This Row],[Pharmacist]]</f>
        <v>0</v>
      </c>
      <c r="K56" s="6">
        <f>UnitsTable[[#This Row],[Licensed Psychiatric Technician]]*CodeRatesTable[[#This Row],[Licensed Psychiatric Technician]]</f>
        <v>0</v>
      </c>
      <c r="L56" s="6">
        <f>UnitsTable[[#This Row],[Psychologist/Pre-licensed Psychologist]]*CodeRatesTable[[#This Row],[Psychologist/Pre-licensed Psychologist]]</f>
        <v>0</v>
      </c>
      <c r="M56" s="6">
        <f>UnitsTable[[#This Row],[LPHA (MFT  LCSW  LPCC)/ Intern or Waivered LPHA (MFT  LCSW  LPCC)]]*CodeRatesTable[[#This Row],[LPHA (MFT  LCSW  LPCC)/ Intern or Waivered LPHA (MFT  LCSW  LPCC)]]</f>
        <v>0</v>
      </c>
      <c r="N56" s="6">
        <f>UnitsTable[[#This Row],[Occupational Therapist]]*CodeRatesTable[[#This Row],[Occupational Therapist]]</f>
        <v>0</v>
      </c>
      <c r="O56" s="6">
        <f>UnitsTable[[#This Row],[Mental Health Rehab Specialist]]*CodeRatesTable[[#This Row],[Mental Health Rehab Specialist]]</f>
        <v>0</v>
      </c>
      <c r="P56" s="6">
        <f>UnitsTable[[#This Row],[Peer Recovery Specialist]]*CodeRatesTable[[#This Row],[Peer Recovery Specialist]]</f>
        <v>0</v>
      </c>
      <c r="Q56" s="6">
        <f>UnitsTable[[#This Row],[Other Qualified Providers - Other Designated MH staff that bill medical]]*CodeRatesTable[[#This Row],[Other Qualified Providers - Other Designated MH staff that bill medical]]</f>
        <v>0</v>
      </c>
      <c r="R56" s="6">
        <f>SUM(RevenueTable[[#This Row],[Psychiatrist/ Contracted Psychiatrist]:[Other Qualified Providers - Other Designated MH staff that bill medical]])</f>
        <v>0</v>
      </c>
    </row>
    <row r="57" spans="1:18" hidden="1" x14ac:dyDescent="0.25">
      <c r="A57" s="6" t="str">
        <f>INDEX(CodeMinutesTable[Frequently Used],MATCH(RevenueTable[[#This Row],[Billing Code]],CodeMinutesTable[Code],0))</f>
        <v>No</v>
      </c>
      <c r="B57" s="3" t="s">
        <v>148</v>
      </c>
      <c r="C57" t="s">
        <v>149</v>
      </c>
      <c r="D57" s="6">
        <f>UnitsTable[[#This Row],[Psychiatrist/ Contracted Psychiatrist]]*CodeRatesTable[[#This Row],[Psychiatrist/ Contracted Psychiatrist]]</f>
        <v>0</v>
      </c>
      <c r="E57" s="6">
        <f>UnitsTable[[#This Row],[Physicians Assistant]]*CodeRatesTable[[#This Row],[Physicians Assistant]]</f>
        <v>0</v>
      </c>
      <c r="F57" s="6">
        <f>UnitsTable[[#This Row],[Nurse Practitioner]]*CodeRatesTable[[#This Row],[Nurse Practitioner]]</f>
        <v>0</v>
      </c>
      <c r="G57" s="6">
        <f>UnitsTable[[#This Row],[RN]]*CodeRatesTable[[#This Row],[RN]]</f>
        <v>0</v>
      </c>
      <c r="H57" s="6">
        <f>UnitsTable[[#This Row],[Certified Nurse Specialist]]*CodeRatesTable[[#This Row],[Certified Nurse Specialist]]</f>
        <v>0</v>
      </c>
      <c r="I57" s="6">
        <f>UnitsTable[[#This Row],[LVN]]*CodeRatesTable[[#This Row],[LVN]]</f>
        <v>0</v>
      </c>
      <c r="J57" s="6">
        <f>UnitsTable[[#This Row],[Pharmacist]]*CodeRatesTable[[#This Row],[Pharmacist]]</f>
        <v>0</v>
      </c>
      <c r="K57" s="6">
        <f>UnitsTable[[#This Row],[Licensed Psychiatric Technician]]*CodeRatesTable[[#This Row],[Licensed Psychiatric Technician]]</f>
        <v>0</v>
      </c>
      <c r="L57" s="6">
        <f>UnitsTable[[#This Row],[Psychologist/Pre-licensed Psychologist]]*CodeRatesTable[[#This Row],[Psychologist/Pre-licensed Psychologist]]</f>
        <v>0</v>
      </c>
      <c r="M57" s="6">
        <f>UnitsTable[[#This Row],[LPHA (MFT  LCSW  LPCC)/ Intern or Waivered LPHA (MFT  LCSW  LPCC)]]*CodeRatesTable[[#This Row],[LPHA (MFT  LCSW  LPCC)/ Intern or Waivered LPHA (MFT  LCSW  LPCC)]]</f>
        <v>0</v>
      </c>
      <c r="N57" s="6">
        <f>UnitsTable[[#This Row],[Occupational Therapist]]*CodeRatesTable[[#This Row],[Occupational Therapist]]</f>
        <v>0</v>
      </c>
      <c r="O57" s="6">
        <f>UnitsTable[[#This Row],[Mental Health Rehab Specialist]]*CodeRatesTable[[#This Row],[Mental Health Rehab Specialist]]</f>
        <v>0</v>
      </c>
      <c r="P57" s="6">
        <f>UnitsTable[[#This Row],[Peer Recovery Specialist]]*CodeRatesTable[[#This Row],[Peer Recovery Specialist]]</f>
        <v>0</v>
      </c>
      <c r="Q57" s="6">
        <f>UnitsTable[[#This Row],[Other Qualified Providers - Other Designated MH staff that bill medical]]*CodeRatesTable[[#This Row],[Other Qualified Providers - Other Designated MH staff that bill medical]]</f>
        <v>0</v>
      </c>
      <c r="R57" s="6">
        <f>SUM(RevenueTable[[#This Row],[Psychiatrist/ Contracted Psychiatrist]:[Other Qualified Providers - Other Designated MH staff that bill medical]])</f>
        <v>0</v>
      </c>
    </row>
    <row r="58" spans="1:18" hidden="1" x14ac:dyDescent="0.25">
      <c r="A58" s="6" t="str">
        <f>INDEX(CodeMinutesTable[Frequently Used],MATCH(RevenueTable[[#This Row],[Billing Code]],CodeMinutesTable[Code],0))</f>
        <v>No</v>
      </c>
      <c r="B58" s="3" t="s">
        <v>150</v>
      </c>
      <c r="C58" t="s">
        <v>151</v>
      </c>
      <c r="D58" s="6">
        <f>UnitsTable[[#This Row],[Psychiatrist/ Contracted Psychiatrist]]*CodeRatesTable[[#This Row],[Psychiatrist/ Contracted Psychiatrist]]</f>
        <v>0</v>
      </c>
      <c r="E58" s="6">
        <f>UnitsTable[[#This Row],[Physicians Assistant]]*CodeRatesTable[[#This Row],[Physicians Assistant]]</f>
        <v>0</v>
      </c>
      <c r="F58" s="6">
        <f>UnitsTable[[#This Row],[Nurse Practitioner]]*CodeRatesTable[[#This Row],[Nurse Practitioner]]</f>
        <v>0</v>
      </c>
      <c r="G58" s="6">
        <f>UnitsTable[[#This Row],[RN]]*CodeRatesTable[[#This Row],[RN]]</f>
        <v>0</v>
      </c>
      <c r="H58" s="6">
        <f>UnitsTable[[#This Row],[Certified Nurse Specialist]]*CodeRatesTable[[#This Row],[Certified Nurse Specialist]]</f>
        <v>0</v>
      </c>
      <c r="I58" s="6">
        <f>UnitsTable[[#This Row],[LVN]]*CodeRatesTable[[#This Row],[LVN]]</f>
        <v>0</v>
      </c>
      <c r="J58" s="6">
        <f>UnitsTable[[#This Row],[Pharmacist]]*CodeRatesTable[[#This Row],[Pharmacist]]</f>
        <v>0</v>
      </c>
      <c r="K58" s="6">
        <f>UnitsTable[[#This Row],[Licensed Psychiatric Technician]]*CodeRatesTable[[#This Row],[Licensed Psychiatric Technician]]</f>
        <v>0</v>
      </c>
      <c r="L58" s="6">
        <f>UnitsTable[[#This Row],[Psychologist/Pre-licensed Psychologist]]*CodeRatesTable[[#This Row],[Psychologist/Pre-licensed Psychologist]]</f>
        <v>0</v>
      </c>
      <c r="M58" s="6">
        <f>UnitsTable[[#This Row],[LPHA (MFT  LCSW  LPCC)/ Intern or Waivered LPHA (MFT  LCSW  LPCC)]]*CodeRatesTable[[#This Row],[LPHA (MFT  LCSW  LPCC)/ Intern or Waivered LPHA (MFT  LCSW  LPCC)]]</f>
        <v>0</v>
      </c>
      <c r="N58" s="6">
        <f>UnitsTable[[#This Row],[Occupational Therapist]]*CodeRatesTable[[#This Row],[Occupational Therapist]]</f>
        <v>0</v>
      </c>
      <c r="O58" s="6">
        <f>UnitsTable[[#This Row],[Mental Health Rehab Specialist]]*CodeRatesTable[[#This Row],[Mental Health Rehab Specialist]]</f>
        <v>0</v>
      </c>
      <c r="P58" s="6">
        <f>UnitsTable[[#This Row],[Peer Recovery Specialist]]*CodeRatesTable[[#This Row],[Peer Recovery Specialist]]</f>
        <v>0</v>
      </c>
      <c r="Q58" s="6">
        <f>UnitsTable[[#This Row],[Other Qualified Providers - Other Designated MH staff that bill medical]]*CodeRatesTable[[#This Row],[Other Qualified Providers - Other Designated MH staff that bill medical]]</f>
        <v>0</v>
      </c>
      <c r="R58" s="6">
        <f>SUM(RevenueTable[[#This Row],[Psychiatrist/ Contracted Psychiatrist]:[Other Qualified Providers - Other Designated MH staff that bill medical]])</f>
        <v>0</v>
      </c>
    </row>
    <row r="59" spans="1:18" x14ac:dyDescent="0.25">
      <c r="A59" s="6" t="str">
        <f>INDEX(CodeMinutesTable[Frequently Used],MATCH(RevenueTable[[#This Row],[Billing Code]],CodeMinutesTable[Code],0))</f>
        <v>Yes</v>
      </c>
      <c r="B59" s="3" t="s">
        <v>152</v>
      </c>
      <c r="C59" t="s">
        <v>153</v>
      </c>
      <c r="D59" s="6">
        <f>UnitsTable[[#This Row],[Psychiatrist/ Contracted Psychiatrist]]*CodeRatesTable[[#This Row],[Psychiatrist/ Contracted Psychiatrist]]</f>
        <v>0</v>
      </c>
      <c r="E59" s="6">
        <f>UnitsTable[[#This Row],[Physicians Assistant]]*CodeRatesTable[[#This Row],[Physicians Assistant]]</f>
        <v>0</v>
      </c>
      <c r="F59" s="6">
        <f>UnitsTable[[#This Row],[Nurse Practitioner]]*CodeRatesTable[[#This Row],[Nurse Practitioner]]</f>
        <v>0</v>
      </c>
      <c r="G59" s="6">
        <f>UnitsTable[[#This Row],[RN]]*CodeRatesTable[[#This Row],[RN]]</f>
        <v>0</v>
      </c>
      <c r="H59" s="6">
        <f>UnitsTable[[#This Row],[Certified Nurse Specialist]]*CodeRatesTable[[#This Row],[Certified Nurse Specialist]]</f>
        <v>0</v>
      </c>
      <c r="I59" s="6">
        <f>UnitsTable[[#This Row],[LVN]]*CodeRatesTable[[#This Row],[LVN]]</f>
        <v>0</v>
      </c>
      <c r="J59" s="6">
        <f>UnitsTable[[#This Row],[Pharmacist]]*CodeRatesTable[[#This Row],[Pharmacist]]</f>
        <v>0</v>
      </c>
      <c r="K59" s="6">
        <f>UnitsTable[[#This Row],[Licensed Psychiatric Technician]]*CodeRatesTable[[#This Row],[Licensed Psychiatric Technician]]</f>
        <v>0</v>
      </c>
      <c r="L59" s="6">
        <f>UnitsTable[[#This Row],[Psychologist/Pre-licensed Psychologist]]*CodeRatesTable[[#This Row],[Psychologist/Pre-licensed Psychologist]]</f>
        <v>0</v>
      </c>
      <c r="M59" s="6">
        <f>UnitsTable[[#This Row],[LPHA (MFT  LCSW  LPCC)/ Intern or Waivered LPHA (MFT  LCSW  LPCC)]]*CodeRatesTable[[#This Row],[LPHA (MFT  LCSW  LPCC)/ Intern or Waivered LPHA (MFT  LCSW  LPCC)]]</f>
        <v>0</v>
      </c>
      <c r="N59" s="6">
        <f>UnitsTable[[#This Row],[Occupational Therapist]]*CodeRatesTable[[#This Row],[Occupational Therapist]]</f>
        <v>0</v>
      </c>
      <c r="O59" s="6">
        <f>UnitsTable[[#This Row],[Mental Health Rehab Specialist]]*CodeRatesTable[[#This Row],[Mental Health Rehab Specialist]]</f>
        <v>0</v>
      </c>
      <c r="P59" s="6">
        <f>UnitsTable[[#This Row],[Peer Recovery Specialist]]*CodeRatesTable[[#This Row],[Peer Recovery Specialist]]</f>
        <v>0</v>
      </c>
      <c r="Q59" s="6">
        <f>UnitsTable[[#This Row],[Other Qualified Providers - Other Designated MH staff that bill medical]]*CodeRatesTable[[#This Row],[Other Qualified Providers - Other Designated MH staff that bill medical]]</f>
        <v>0</v>
      </c>
      <c r="R59" s="6">
        <f>SUM(RevenueTable[[#This Row],[Psychiatrist/ Contracted Psychiatrist]:[Other Qualified Providers - Other Designated MH staff that bill medical]])</f>
        <v>0</v>
      </c>
    </row>
    <row r="60" spans="1:18" x14ac:dyDescent="0.25">
      <c r="A60" s="6" t="str">
        <f>INDEX(CodeMinutesTable[Frequently Used],MATCH(RevenueTable[[#This Row],[Billing Code]],CodeMinutesTable[Code],0))</f>
        <v>Yes</v>
      </c>
      <c r="B60" s="3" t="s">
        <v>154</v>
      </c>
      <c r="C60" t="s">
        <v>155</v>
      </c>
      <c r="D60" s="6">
        <f>UnitsTable[[#This Row],[Psychiatrist/ Contracted Psychiatrist]]*CodeRatesTable[[#This Row],[Psychiatrist/ Contracted Psychiatrist]]</f>
        <v>0</v>
      </c>
      <c r="E60" s="6">
        <f>UnitsTable[[#This Row],[Physicians Assistant]]*CodeRatesTable[[#This Row],[Physicians Assistant]]</f>
        <v>0</v>
      </c>
      <c r="F60" s="6">
        <f>UnitsTable[[#This Row],[Nurse Practitioner]]*CodeRatesTable[[#This Row],[Nurse Practitioner]]</f>
        <v>0</v>
      </c>
      <c r="G60" s="6">
        <f>UnitsTable[[#This Row],[RN]]*CodeRatesTable[[#This Row],[RN]]</f>
        <v>0</v>
      </c>
      <c r="H60" s="6">
        <f>UnitsTable[[#This Row],[Certified Nurse Specialist]]*CodeRatesTable[[#This Row],[Certified Nurse Specialist]]</f>
        <v>0</v>
      </c>
      <c r="I60" s="6">
        <f>UnitsTable[[#This Row],[LVN]]*CodeRatesTable[[#This Row],[LVN]]</f>
        <v>0</v>
      </c>
      <c r="J60" s="6">
        <f>UnitsTable[[#This Row],[Pharmacist]]*CodeRatesTable[[#This Row],[Pharmacist]]</f>
        <v>0</v>
      </c>
      <c r="K60" s="6">
        <f>UnitsTable[[#This Row],[Licensed Psychiatric Technician]]*CodeRatesTable[[#This Row],[Licensed Psychiatric Technician]]</f>
        <v>0</v>
      </c>
      <c r="L60" s="6">
        <f>UnitsTable[[#This Row],[Psychologist/Pre-licensed Psychologist]]*CodeRatesTable[[#This Row],[Psychologist/Pre-licensed Psychologist]]</f>
        <v>0</v>
      </c>
      <c r="M60" s="6">
        <f>UnitsTable[[#This Row],[LPHA (MFT  LCSW  LPCC)/ Intern or Waivered LPHA (MFT  LCSW  LPCC)]]*CodeRatesTable[[#This Row],[LPHA (MFT  LCSW  LPCC)/ Intern or Waivered LPHA (MFT  LCSW  LPCC)]]</f>
        <v>0</v>
      </c>
      <c r="N60" s="6">
        <f>UnitsTable[[#This Row],[Occupational Therapist]]*CodeRatesTable[[#This Row],[Occupational Therapist]]</f>
        <v>0</v>
      </c>
      <c r="O60" s="6">
        <f>UnitsTable[[#This Row],[Mental Health Rehab Specialist]]*CodeRatesTable[[#This Row],[Mental Health Rehab Specialist]]</f>
        <v>0</v>
      </c>
      <c r="P60" s="6">
        <f>UnitsTable[[#This Row],[Peer Recovery Specialist]]*CodeRatesTable[[#This Row],[Peer Recovery Specialist]]</f>
        <v>0</v>
      </c>
      <c r="Q60" s="6">
        <f>UnitsTable[[#This Row],[Other Qualified Providers - Other Designated MH staff that bill medical]]*CodeRatesTable[[#This Row],[Other Qualified Providers - Other Designated MH staff that bill medical]]</f>
        <v>0</v>
      </c>
      <c r="R60" s="6">
        <f>SUM(RevenueTable[[#This Row],[Psychiatrist/ Contracted Psychiatrist]:[Other Qualified Providers - Other Designated MH staff that bill medical]])</f>
        <v>0</v>
      </c>
    </row>
    <row r="61" spans="1:18" x14ac:dyDescent="0.25">
      <c r="A61" s="6" t="str">
        <f>INDEX(CodeMinutesTable[Frequently Used],MATCH(RevenueTable[[#This Row],[Billing Code]],CodeMinutesTable[Code],0))</f>
        <v>Yes</v>
      </c>
      <c r="B61" s="3" t="s">
        <v>156</v>
      </c>
      <c r="C61" t="s">
        <v>157</v>
      </c>
      <c r="D61" s="6">
        <f>UnitsTable[[#This Row],[Psychiatrist/ Contracted Psychiatrist]]*CodeRatesTable[[#This Row],[Psychiatrist/ Contracted Psychiatrist]]</f>
        <v>0</v>
      </c>
      <c r="E61" s="6">
        <f>UnitsTable[[#This Row],[Physicians Assistant]]*CodeRatesTable[[#This Row],[Physicians Assistant]]</f>
        <v>0</v>
      </c>
      <c r="F61" s="6">
        <f>UnitsTable[[#This Row],[Nurse Practitioner]]*CodeRatesTable[[#This Row],[Nurse Practitioner]]</f>
        <v>0</v>
      </c>
      <c r="G61" s="6">
        <f>UnitsTable[[#This Row],[RN]]*CodeRatesTable[[#This Row],[RN]]</f>
        <v>0</v>
      </c>
      <c r="H61" s="6">
        <f>UnitsTable[[#This Row],[Certified Nurse Specialist]]*CodeRatesTable[[#This Row],[Certified Nurse Specialist]]</f>
        <v>0</v>
      </c>
      <c r="I61" s="6">
        <f>UnitsTable[[#This Row],[LVN]]*CodeRatesTable[[#This Row],[LVN]]</f>
        <v>0</v>
      </c>
      <c r="J61" s="6">
        <f>UnitsTable[[#This Row],[Pharmacist]]*CodeRatesTable[[#This Row],[Pharmacist]]</f>
        <v>0</v>
      </c>
      <c r="K61" s="6">
        <f>UnitsTable[[#This Row],[Licensed Psychiatric Technician]]*CodeRatesTable[[#This Row],[Licensed Psychiatric Technician]]</f>
        <v>0</v>
      </c>
      <c r="L61" s="6">
        <f>UnitsTable[[#This Row],[Psychologist/Pre-licensed Psychologist]]*CodeRatesTable[[#This Row],[Psychologist/Pre-licensed Psychologist]]</f>
        <v>0</v>
      </c>
      <c r="M61" s="6">
        <f>UnitsTable[[#This Row],[LPHA (MFT  LCSW  LPCC)/ Intern or Waivered LPHA (MFT  LCSW  LPCC)]]*CodeRatesTable[[#This Row],[LPHA (MFT  LCSW  LPCC)/ Intern or Waivered LPHA (MFT  LCSW  LPCC)]]</f>
        <v>0</v>
      </c>
      <c r="N61" s="6">
        <f>UnitsTable[[#This Row],[Occupational Therapist]]*CodeRatesTable[[#This Row],[Occupational Therapist]]</f>
        <v>0</v>
      </c>
      <c r="O61" s="6">
        <f>UnitsTable[[#This Row],[Mental Health Rehab Specialist]]*CodeRatesTable[[#This Row],[Mental Health Rehab Specialist]]</f>
        <v>0</v>
      </c>
      <c r="P61" s="6">
        <f>UnitsTable[[#This Row],[Peer Recovery Specialist]]*CodeRatesTable[[#This Row],[Peer Recovery Specialist]]</f>
        <v>0</v>
      </c>
      <c r="Q61" s="6">
        <f>UnitsTable[[#This Row],[Other Qualified Providers - Other Designated MH staff that bill medical]]*CodeRatesTable[[#This Row],[Other Qualified Providers - Other Designated MH staff that bill medical]]</f>
        <v>0</v>
      </c>
      <c r="R61" s="6">
        <f>SUM(RevenueTable[[#This Row],[Psychiatrist/ Contracted Psychiatrist]:[Other Qualified Providers - Other Designated MH staff that bill medical]])</f>
        <v>0</v>
      </c>
    </row>
    <row r="62" spans="1:18" x14ac:dyDescent="0.25">
      <c r="A62" s="6" t="str">
        <f>INDEX(CodeMinutesTable[Frequently Used],MATCH(RevenueTable[[#This Row],[Billing Code]],CodeMinutesTable[Code],0))</f>
        <v>Yes</v>
      </c>
      <c r="B62" s="3" t="s">
        <v>158</v>
      </c>
      <c r="C62" t="s">
        <v>159</v>
      </c>
      <c r="D62" s="6">
        <f>UnitsTable[[#This Row],[Psychiatrist/ Contracted Psychiatrist]]*CodeRatesTable[[#This Row],[Psychiatrist/ Contracted Psychiatrist]]</f>
        <v>0</v>
      </c>
      <c r="E62" s="6">
        <f>UnitsTable[[#This Row],[Physicians Assistant]]*CodeRatesTable[[#This Row],[Physicians Assistant]]</f>
        <v>0</v>
      </c>
      <c r="F62" s="6">
        <f>UnitsTable[[#This Row],[Nurse Practitioner]]*CodeRatesTable[[#This Row],[Nurse Practitioner]]</f>
        <v>0</v>
      </c>
      <c r="G62" s="6">
        <f>UnitsTable[[#This Row],[RN]]*CodeRatesTable[[#This Row],[RN]]</f>
        <v>0</v>
      </c>
      <c r="H62" s="6">
        <f>UnitsTable[[#This Row],[Certified Nurse Specialist]]*CodeRatesTable[[#This Row],[Certified Nurse Specialist]]</f>
        <v>0</v>
      </c>
      <c r="I62" s="6">
        <f>UnitsTable[[#This Row],[LVN]]*CodeRatesTable[[#This Row],[LVN]]</f>
        <v>0</v>
      </c>
      <c r="J62" s="6">
        <f>UnitsTable[[#This Row],[Pharmacist]]*CodeRatesTable[[#This Row],[Pharmacist]]</f>
        <v>0</v>
      </c>
      <c r="K62" s="6">
        <f>UnitsTable[[#This Row],[Licensed Psychiatric Technician]]*CodeRatesTable[[#This Row],[Licensed Psychiatric Technician]]</f>
        <v>0</v>
      </c>
      <c r="L62" s="6">
        <f>UnitsTable[[#This Row],[Psychologist/Pre-licensed Psychologist]]*CodeRatesTable[[#This Row],[Psychologist/Pre-licensed Psychologist]]</f>
        <v>0</v>
      </c>
      <c r="M62" s="6">
        <f>UnitsTable[[#This Row],[LPHA (MFT  LCSW  LPCC)/ Intern or Waivered LPHA (MFT  LCSW  LPCC)]]*CodeRatesTable[[#This Row],[LPHA (MFT  LCSW  LPCC)/ Intern or Waivered LPHA (MFT  LCSW  LPCC)]]</f>
        <v>0</v>
      </c>
      <c r="N62" s="6">
        <f>UnitsTable[[#This Row],[Occupational Therapist]]*CodeRatesTable[[#This Row],[Occupational Therapist]]</f>
        <v>0</v>
      </c>
      <c r="O62" s="6">
        <f>UnitsTable[[#This Row],[Mental Health Rehab Specialist]]*CodeRatesTable[[#This Row],[Mental Health Rehab Specialist]]</f>
        <v>0</v>
      </c>
      <c r="P62" s="6">
        <f>UnitsTable[[#This Row],[Peer Recovery Specialist]]*CodeRatesTable[[#This Row],[Peer Recovery Specialist]]</f>
        <v>0</v>
      </c>
      <c r="Q62" s="6">
        <f>UnitsTable[[#This Row],[Other Qualified Providers - Other Designated MH staff that bill medical]]*CodeRatesTable[[#This Row],[Other Qualified Providers - Other Designated MH staff that bill medical]]</f>
        <v>0</v>
      </c>
      <c r="R62" s="6">
        <f>SUM(RevenueTable[[#This Row],[Psychiatrist/ Contracted Psychiatrist]:[Other Qualified Providers - Other Designated MH staff that bill medical]])</f>
        <v>0</v>
      </c>
    </row>
    <row r="63" spans="1:18" x14ac:dyDescent="0.25">
      <c r="A63" s="6" t="str">
        <f>INDEX(CodeMinutesTable[Frequently Used],MATCH(RevenueTable[[#This Row],[Billing Code]],CodeMinutesTable[Code],0))</f>
        <v>Yes</v>
      </c>
      <c r="B63" s="3" t="s">
        <v>160</v>
      </c>
      <c r="C63" t="s">
        <v>161</v>
      </c>
      <c r="D63" s="6">
        <f>UnitsTable[[#This Row],[Psychiatrist/ Contracted Psychiatrist]]*CodeRatesTable[[#This Row],[Psychiatrist/ Contracted Psychiatrist]]</f>
        <v>0</v>
      </c>
      <c r="E63" s="6">
        <f>UnitsTable[[#This Row],[Physicians Assistant]]*CodeRatesTable[[#This Row],[Physicians Assistant]]</f>
        <v>0</v>
      </c>
      <c r="F63" s="6">
        <f>UnitsTable[[#This Row],[Nurse Practitioner]]*CodeRatesTable[[#This Row],[Nurse Practitioner]]</f>
        <v>0</v>
      </c>
      <c r="G63" s="6">
        <f>UnitsTable[[#This Row],[RN]]*CodeRatesTable[[#This Row],[RN]]</f>
        <v>0</v>
      </c>
      <c r="H63" s="6">
        <f>UnitsTable[[#This Row],[Certified Nurse Specialist]]*CodeRatesTable[[#This Row],[Certified Nurse Specialist]]</f>
        <v>0</v>
      </c>
      <c r="I63" s="6">
        <f>UnitsTable[[#This Row],[LVN]]*CodeRatesTable[[#This Row],[LVN]]</f>
        <v>0</v>
      </c>
      <c r="J63" s="6">
        <f>UnitsTable[[#This Row],[Pharmacist]]*CodeRatesTable[[#This Row],[Pharmacist]]</f>
        <v>0</v>
      </c>
      <c r="K63" s="6">
        <f>UnitsTable[[#This Row],[Licensed Psychiatric Technician]]*CodeRatesTable[[#This Row],[Licensed Psychiatric Technician]]</f>
        <v>0</v>
      </c>
      <c r="L63" s="6">
        <f>UnitsTable[[#This Row],[Psychologist/Pre-licensed Psychologist]]*CodeRatesTable[[#This Row],[Psychologist/Pre-licensed Psychologist]]</f>
        <v>0</v>
      </c>
      <c r="M63" s="6">
        <f>UnitsTable[[#This Row],[LPHA (MFT  LCSW  LPCC)/ Intern or Waivered LPHA (MFT  LCSW  LPCC)]]*CodeRatesTable[[#This Row],[LPHA (MFT  LCSW  LPCC)/ Intern or Waivered LPHA (MFT  LCSW  LPCC)]]</f>
        <v>0</v>
      </c>
      <c r="N63" s="6">
        <f>UnitsTable[[#This Row],[Occupational Therapist]]*CodeRatesTable[[#This Row],[Occupational Therapist]]</f>
        <v>0</v>
      </c>
      <c r="O63" s="6">
        <f>UnitsTable[[#This Row],[Mental Health Rehab Specialist]]*CodeRatesTable[[#This Row],[Mental Health Rehab Specialist]]</f>
        <v>0</v>
      </c>
      <c r="P63" s="6">
        <f>UnitsTable[[#This Row],[Peer Recovery Specialist]]*CodeRatesTable[[#This Row],[Peer Recovery Specialist]]</f>
        <v>0</v>
      </c>
      <c r="Q63" s="6">
        <f>UnitsTable[[#This Row],[Other Qualified Providers - Other Designated MH staff that bill medical]]*CodeRatesTable[[#This Row],[Other Qualified Providers - Other Designated MH staff that bill medical]]</f>
        <v>0</v>
      </c>
      <c r="R63" s="6">
        <f>SUM(RevenueTable[[#This Row],[Psychiatrist/ Contracted Psychiatrist]:[Other Qualified Providers - Other Designated MH staff that bill medical]])</f>
        <v>0</v>
      </c>
    </row>
    <row r="64" spans="1:18" x14ac:dyDescent="0.25">
      <c r="A64" s="6" t="str">
        <f>INDEX(CodeMinutesTable[Frequently Used],MATCH(RevenueTable[[#This Row],[Billing Code]],CodeMinutesTable[Code],0))</f>
        <v>Yes</v>
      </c>
      <c r="B64" s="3" t="s">
        <v>162</v>
      </c>
      <c r="C64" t="s">
        <v>163</v>
      </c>
      <c r="D64" s="6">
        <f>UnitsTable[[#This Row],[Psychiatrist/ Contracted Psychiatrist]]*CodeRatesTable[[#This Row],[Psychiatrist/ Contracted Psychiatrist]]</f>
        <v>0</v>
      </c>
      <c r="E64" s="6">
        <f>UnitsTable[[#This Row],[Physicians Assistant]]*CodeRatesTable[[#This Row],[Physicians Assistant]]</f>
        <v>0</v>
      </c>
      <c r="F64" s="6">
        <f>UnitsTable[[#This Row],[Nurse Practitioner]]*CodeRatesTable[[#This Row],[Nurse Practitioner]]</f>
        <v>0</v>
      </c>
      <c r="G64" s="6">
        <f>UnitsTable[[#This Row],[RN]]*CodeRatesTable[[#This Row],[RN]]</f>
        <v>0</v>
      </c>
      <c r="H64" s="6">
        <f>UnitsTable[[#This Row],[Certified Nurse Specialist]]*CodeRatesTable[[#This Row],[Certified Nurse Specialist]]</f>
        <v>0</v>
      </c>
      <c r="I64" s="6">
        <f>UnitsTable[[#This Row],[LVN]]*CodeRatesTable[[#This Row],[LVN]]</f>
        <v>0</v>
      </c>
      <c r="J64" s="6">
        <f>UnitsTable[[#This Row],[Pharmacist]]*CodeRatesTable[[#This Row],[Pharmacist]]</f>
        <v>0</v>
      </c>
      <c r="K64" s="6">
        <f>UnitsTable[[#This Row],[Licensed Psychiatric Technician]]*CodeRatesTable[[#This Row],[Licensed Psychiatric Technician]]</f>
        <v>0</v>
      </c>
      <c r="L64" s="6">
        <f>UnitsTable[[#This Row],[Psychologist/Pre-licensed Psychologist]]*CodeRatesTable[[#This Row],[Psychologist/Pre-licensed Psychologist]]</f>
        <v>0</v>
      </c>
      <c r="M64" s="6">
        <f>UnitsTable[[#This Row],[LPHA (MFT  LCSW  LPCC)/ Intern or Waivered LPHA (MFT  LCSW  LPCC)]]*CodeRatesTable[[#This Row],[LPHA (MFT  LCSW  LPCC)/ Intern or Waivered LPHA (MFT  LCSW  LPCC)]]</f>
        <v>0</v>
      </c>
      <c r="N64" s="6">
        <f>UnitsTable[[#This Row],[Occupational Therapist]]*CodeRatesTable[[#This Row],[Occupational Therapist]]</f>
        <v>0</v>
      </c>
      <c r="O64" s="6">
        <f>UnitsTable[[#This Row],[Mental Health Rehab Specialist]]*CodeRatesTable[[#This Row],[Mental Health Rehab Specialist]]</f>
        <v>0</v>
      </c>
      <c r="P64" s="6">
        <f>UnitsTable[[#This Row],[Peer Recovery Specialist]]*CodeRatesTable[[#This Row],[Peer Recovery Specialist]]</f>
        <v>0</v>
      </c>
      <c r="Q64" s="6">
        <f>UnitsTable[[#This Row],[Other Qualified Providers - Other Designated MH staff that bill medical]]*CodeRatesTable[[#This Row],[Other Qualified Providers - Other Designated MH staff that bill medical]]</f>
        <v>0</v>
      </c>
      <c r="R64" s="6">
        <f>SUM(RevenueTable[[#This Row],[Psychiatrist/ Contracted Psychiatrist]:[Other Qualified Providers - Other Designated MH staff that bill medical]])</f>
        <v>0</v>
      </c>
    </row>
    <row r="65" spans="1:18" x14ac:dyDescent="0.25">
      <c r="A65" s="6" t="str">
        <f>INDEX(CodeMinutesTable[Frequently Used],MATCH(RevenueTable[[#This Row],[Billing Code]],CodeMinutesTable[Code],0))</f>
        <v>Yes</v>
      </c>
      <c r="B65" s="3" t="s">
        <v>164</v>
      </c>
      <c r="C65" t="s">
        <v>165</v>
      </c>
      <c r="D65" s="6">
        <f>UnitsTable[[#This Row],[Psychiatrist/ Contracted Psychiatrist]]*CodeRatesTable[[#This Row],[Psychiatrist/ Contracted Psychiatrist]]</f>
        <v>0</v>
      </c>
      <c r="E65" s="6">
        <f>UnitsTable[[#This Row],[Physicians Assistant]]*CodeRatesTable[[#This Row],[Physicians Assistant]]</f>
        <v>0</v>
      </c>
      <c r="F65" s="6">
        <f>UnitsTable[[#This Row],[Nurse Practitioner]]*CodeRatesTable[[#This Row],[Nurse Practitioner]]</f>
        <v>0</v>
      </c>
      <c r="G65" s="6">
        <f>UnitsTable[[#This Row],[RN]]*CodeRatesTable[[#This Row],[RN]]</f>
        <v>0</v>
      </c>
      <c r="H65" s="6">
        <f>UnitsTable[[#This Row],[Certified Nurse Specialist]]*CodeRatesTable[[#This Row],[Certified Nurse Specialist]]</f>
        <v>0</v>
      </c>
      <c r="I65" s="6">
        <f>UnitsTable[[#This Row],[LVN]]*CodeRatesTable[[#This Row],[LVN]]</f>
        <v>0</v>
      </c>
      <c r="J65" s="6">
        <f>UnitsTable[[#This Row],[Pharmacist]]*CodeRatesTable[[#This Row],[Pharmacist]]</f>
        <v>0</v>
      </c>
      <c r="K65" s="6">
        <f>UnitsTable[[#This Row],[Licensed Psychiatric Technician]]*CodeRatesTable[[#This Row],[Licensed Psychiatric Technician]]</f>
        <v>0</v>
      </c>
      <c r="L65" s="6">
        <f>UnitsTable[[#This Row],[Psychologist/Pre-licensed Psychologist]]*CodeRatesTable[[#This Row],[Psychologist/Pre-licensed Psychologist]]</f>
        <v>0</v>
      </c>
      <c r="M65" s="6">
        <f>UnitsTable[[#This Row],[LPHA (MFT  LCSW  LPCC)/ Intern or Waivered LPHA (MFT  LCSW  LPCC)]]*CodeRatesTable[[#This Row],[LPHA (MFT  LCSW  LPCC)/ Intern or Waivered LPHA (MFT  LCSW  LPCC)]]</f>
        <v>0</v>
      </c>
      <c r="N65" s="6">
        <f>UnitsTable[[#This Row],[Occupational Therapist]]*CodeRatesTable[[#This Row],[Occupational Therapist]]</f>
        <v>0</v>
      </c>
      <c r="O65" s="6">
        <f>UnitsTable[[#This Row],[Mental Health Rehab Specialist]]*CodeRatesTable[[#This Row],[Mental Health Rehab Specialist]]</f>
        <v>0</v>
      </c>
      <c r="P65" s="6">
        <f>UnitsTable[[#This Row],[Peer Recovery Specialist]]*CodeRatesTable[[#This Row],[Peer Recovery Specialist]]</f>
        <v>0</v>
      </c>
      <c r="Q65" s="6">
        <f>UnitsTable[[#This Row],[Other Qualified Providers - Other Designated MH staff that bill medical]]*CodeRatesTable[[#This Row],[Other Qualified Providers - Other Designated MH staff that bill medical]]</f>
        <v>0</v>
      </c>
      <c r="R65" s="6">
        <f>SUM(RevenueTable[[#This Row],[Psychiatrist/ Contracted Psychiatrist]:[Other Qualified Providers - Other Designated MH staff that bill medical]])</f>
        <v>0</v>
      </c>
    </row>
    <row r="66" spans="1:18" x14ac:dyDescent="0.25">
      <c r="A66" s="6" t="str">
        <f>INDEX(CodeMinutesTable[Frequently Used],MATCH(RevenueTable[[#This Row],[Billing Code]],CodeMinutesTable[Code],0))</f>
        <v>Yes</v>
      </c>
      <c r="B66" s="3" t="s">
        <v>166</v>
      </c>
      <c r="C66" t="s">
        <v>167</v>
      </c>
      <c r="D66" s="6">
        <f>UnitsTable[[#This Row],[Psychiatrist/ Contracted Psychiatrist]]*CodeRatesTable[[#This Row],[Psychiatrist/ Contracted Psychiatrist]]</f>
        <v>0</v>
      </c>
      <c r="E66" s="6">
        <f>UnitsTable[[#This Row],[Physicians Assistant]]*CodeRatesTable[[#This Row],[Physicians Assistant]]</f>
        <v>0</v>
      </c>
      <c r="F66" s="6">
        <f>UnitsTable[[#This Row],[Nurse Practitioner]]*CodeRatesTable[[#This Row],[Nurse Practitioner]]</f>
        <v>0</v>
      </c>
      <c r="G66" s="6">
        <f>UnitsTable[[#This Row],[RN]]*CodeRatesTable[[#This Row],[RN]]</f>
        <v>0</v>
      </c>
      <c r="H66" s="6">
        <f>UnitsTable[[#This Row],[Certified Nurse Specialist]]*CodeRatesTable[[#This Row],[Certified Nurse Specialist]]</f>
        <v>0</v>
      </c>
      <c r="I66" s="6">
        <f>UnitsTable[[#This Row],[LVN]]*CodeRatesTable[[#This Row],[LVN]]</f>
        <v>0</v>
      </c>
      <c r="J66" s="6">
        <f>UnitsTable[[#This Row],[Pharmacist]]*CodeRatesTable[[#This Row],[Pharmacist]]</f>
        <v>0</v>
      </c>
      <c r="K66" s="6">
        <f>UnitsTable[[#This Row],[Licensed Psychiatric Technician]]*CodeRatesTable[[#This Row],[Licensed Psychiatric Technician]]</f>
        <v>0</v>
      </c>
      <c r="L66" s="6">
        <f>UnitsTable[[#This Row],[Psychologist/Pre-licensed Psychologist]]*CodeRatesTable[[#This Row],[Psychologist/Pre-licensed Psychologist]]</f>
        <v>0</v>
      </c>
      <c r="M66" s="6">
        <f>UnitsTable[[#This Row],[LPHA (MFT  LCSW  LPCC)/ Intern or Waivered LPHA (MFT  LCSW  LPCC)]]*CodeRatesTable[[#This Row],[LPHA (MFT  LCSW  LPCC)/ Intern or Waivered LPHA (MFT  LCSW  LPCC)]]</f>
        <v>0</v>
      </c>
      <c r="N66" s="6">
        <f>UnitsTable[[#This Row],[Occupational Therapist]]*CodeRatesTable[[#This Row],[Occupational Therapist]]</f>
        <v>0</v>
      </c>
      <c r="O66" s="6">
        <f>UnitsTable[[#This Row],[Mental Health Rehab Specialist]]*CodeRatesTable[[#This Row],[Mental Health Rehab Specialist]]</f>
        <v>0</v>
      </c>
      <c r="P66" s="6">
        <f>UnitsTable[[#This Row],[Peer Recovery Specialist]]*CodeRatesTable[[#This Row],[Peer Recovery Specialist]]</f>
        <v>0</v>
      </c>
      <c r="Q66" s="6">
        <f>UnitsTable[[#This Row],[Other Qualified Providers - Other Designated MH staff that bill medical]]*CodeRatesTable[[#This Row],[Other Qualified Providers - Other Designated MH staff that bill medical]]</f>
        <v>0</v>
      </c>
      <c r="R66" s="6">
        <f>SUM(RevenueTable[[#This Row],[Psychiatrist/ Contracted Psychiatrist]:[Other Qualified Providers - Other Designated MH staff that bill medical]])</f>
        <v>0</v>
      </c>
    </row>
    <row r="67" spans="1:18" hidden="1" x14ac:dyDescent="0.25">
      <c r="A67" s="6" t="str">
        <f>INDEX(CodeMinutesTable[Frequently Used],MATCH(RevenueTable[[#This Row],[Billing Code]],CodeMinutesTable[Code],0))</f>
        <v>No</v>
      </c>
      <c r="B67" s="3" t="s">
        <v>168</v>
      </c>
      <c r="C67" t="s">
        <v>169</v>
      </c>
      <c r="D67" s="6">
        <f>UnitsTable[[#This Row],[Psychiatrist/ Contracted Psychiatrist]]*CodeRatesTable[[#This Row],[Psychiatrist/ Contracted Psychiatrist]]</f>
        <v>0</v>
      </c>
      <c r="E67" s="6">
        <f>UnitsTable[[#This Row],[Physicians Assistant]]*CodeRatesTable[[#This Row],[Physicians Assistant]]</f>
        <v>0</v>
      </c>
      <c r="F67" s="6">
        <f>UnitsTable[[#This Row],[Nurse Practitioner]]*CodeRatesTable[[#This Row],[Nurse Practitioner]]</f>
        <v>0</v>
      </c>
      <c r="G67" s="6">
        <f>UnitsTable[[#This Row],[RN]]*CodeRatesTable[[#This Row],[RN]]</f>
        <v>0</v>
      </c>
      <c r="H67" s="6">
        <f>UnitsTable[[#This Row],[Certified Nurse Specialist]]*CodeRatesTable[[#This Row],[Certified Nurse Specialist]]</f>
        <v>0</v>
      </c>
      <c r="I67" s="6">
        <f>UnitsTable[[#This Row],[LVN]]*CodeRatesTable[[#This Row],[LVN]]</f>
        <v>0</v>
      </c>
      <c r="J67" s="6">
        <f>UnitsTable[[#This Row],[Pharmacist]]*CodeRatesTable[[#This Row],[Pharmacist]]</f>
        <v>0</v>
      </c>
      <c r="K67" s="6">
        <f>UnitsTable[[#This Row],[Licensed Psychiatric Technician]]*CodeRatesTable[[#This Row],[Licensed Psychiatric Technician]]</f>
        <v>0</v>
      </c>
      <c r="L67" s="6">
        <f>UnitsTable[[#This Row],[Psychologist/Pre-licensed Psychologist]]*CodeRatesTable[[#This Row],[Psychologist/Pre-licensed Psychologist]]</f>
        <v>0</v>
      </c>
      <c r="M67" s="6">
        <f>UnitsTable[[#This Row],[LPHA (MFT  LCSW  LPCC)/ Intern or Waivered LPHA (MFT  LCSW  LPCC)]]*CodeRatesTable[[#This Row],[LPHA (MFT  LCSW  LPCC)/ Intern or Waivered LPHA (MFT  LCSW  LPCC)]]</f>
        <v>0</v>
      </c>
      <c r="N67" s="6">
        <f>UnitsTable[[#This Row],[Occupational Therapist]]*CodeRatesTable[[#This Row],[Occupational Therapist]]</f>
        <v>0</v>
      </c>
      <c r="O67" s="6">
        <f>UnitsTable[[#This Row],[Mental Health Rehab Specialist]]*CodeRatesTable[[#This Row],[Mental Health Rehab Specialist]]</f>
        <v>0</v>
      </c>
      <c r="P67" s="6">
        <f>UnitsTable[[#This Row],[Peer Recovery Specialist]]*CodeRatesTable[[#This Row],[Peer Recovery Specialist]]</f>
        <v>0</v>
      </c>
      <c r="Q67" s="6">
        <f>UnitsTable[[#This Row],[Other Qualified Providers - Other Designated MH staff that bill medical]]*CodeRatesTable[[#This Row],[Other Qualified Providers - Other Designated MH staff that bill medical]]</f>
        <v>0</v>
      </c>
      <c r="R67" s="6">
        <f>SUM(RevenueTable[[#This Row],[Psychiatrist/ Contracted Psychiatrist]:[Other Qualified Providers - Other Designated MH staff that bill medical]])</f>
        <v>0</v>
      </c>
    </row>
    <row r="68" spans="1:18" hidden="1" x14ac:dyDescent="0.25">
      <c r="A68" s="6" t="str">
        <f>INDEX(CodeMinutesTable[Frequently Used],MATCH(RevenueTable[[#This Row],[Billing Code]],CodeMinutesTable[Code],0))</f>
        <v>No</v>
      </c>
      <c r="B68" s="3" t="s">
        <v>170</v>
      </c>
      <c r="C68" t="s">
        <v>171</v>
      </c>
      <c r="D68" s="6">
        <f>UnitsTable[[#This Row],[Psychiatrist/ Contracted Psychiatrist]]*CodeRatesTable[[#This Row],[Psychiatrist/ Contracted Psychiatrist]]</f>
        <v>0</v>
      </c>
      <c r="E68" s="6">
        <f>UnitsTable[[#This Row],[Physicians Assistant]]*CodeRatesTable[[#This Row],[Physicians Assistant]]</f>
        <v>0</v>
      </c>
      <c r="F68" s="6">
        <f>UnitsTable[[#This Row],[Nurse Practitioner]]*CodeRatesTable[[#This Row],[Nurse Practitioner]]</f>
        <v>0</v>
      </c>
      <c r="G68" s="6">
        <f>UnitsTable[[#This Row],[RN]]*CodeRatesTable[[#This Row],[RN]]</f>
        <v>0</v>
      </c>
      <c r="H68" s="6">
        <f>UnitsTable[[#This Row],[Certified Nurse Specialist]]*CodeRatesTable[[#This Row],[Certified Nurse Specialist]]</f>
        <v>0</v>
      </c>
      <c r="I68" s="6">
        <f>UnitsTable[[#This Row],[LVN]]*CodeRatesTable[[#This Row],[LVN]]</f>
        <v>0</v>
      </c>
      <c r="J68" s="6">
        <f>UnitsTable[[#This Row],[Pharmacist]]*CodeRatesTable[[#This Row],[Pharmacist]]</f>
        <v>0</v>
      </c>
      <c r="K68" s="6">
        <f>UnitsTable[[#This Row],[Licensed Psychiatric Technician]]*CodeRatesTable[[#This Row],[Licensed Psychiatric Technician]]</f>
        <v>0</v>
      </c>
      <c r="L68" s="6">
        <f>UnitsTable[[#This Row],[Psychologist/Pre-licensed Psychologist]]*CodeRatesTable[[#This Row],[Psychologist/Pre-licensed Psychologist]]</f>
        <v>0</v>
      </c>
      <c r="M68" s="6">
        <f>UnitsTable[[#This Row],[LPHA (MFT  LCSW  LPCC)/ Intern or Waivered LPHA (MFT  LCSW  LPCC)]]*CodeRatesTable[[#This Row],[LPHA (MFT  LCSW  LPCC)/ Intern or Waivered LPHA (MFT  LCSW  LPCC)]]</f>
        <v>0</v>
      </c>
      <c r="N68" s="6">
        <f>UnitsTable[[#This Row],[Occupational Therapist]]*CodeRatesTable[[#This Row],[Occupational Therapist]]</f>
        <v>0</v>
      </c>
      <c r="O68" s="6">
        <f>UnitsTable[[#This Row],[Mental Health Rehab Specialist]]*CodeRatesTable[[#This Row],[Mental Health Rehab Specialist]]</f>
        <v>0</v>
      </c>
      <c r="P68" s="6">
        <f>UnitsTable[[#This Row],[Peer Recovery Specialist]]*CodeRatesTable[[#This Row],[Peer Recovery Specialist]]</f>
        <v>0</v>
      </c>
      <c r="Q68" s="6">
        <f>UnitsTable[[#This Row],[Other Qualified Providers - Other Designated MH staff that bill medical]]*CodeRatesTable[[#This Row],[Other Qualified Providers - Other Designated MH staff that bill medical]]</f>
        <v>0</v>
      </c>
      <c r="R68" s="6">
        <f>SUM(RevenueTable[[#This Row],[Psychiatrist/ Contracted Psychiatrist]:[Other Qualified Providers - Other Designated MH staff that bill medical]])</f>
        <v>0</v>
      </c>
    </row>
    <row r="69" spans="1:18" hidden="1" x14ac:dyDescent="0.25">
      <c r="A69" s="6" t="str">
        <f>INDEX(CodeMinutesTable[Frequently Used],MATCH(RevenueTable[[#This Row],[Billing Code]],CodeMinutesTable[Code],0))</f>
        <v>No</v>
      </c>
      <c r="B69" s="3" t="s">
        <v>172</v>
      </c>
      <c r="C69" t="s">
        <v>173</v>
      </c>
      <c r="D69" s="6">
        <f>UnitsTable[[#This Row],[Psychiatrist/ Contracted Psychiatrist]]*CodeRatesTable[[#This Row],[Psychiatrist/ Contracted Psychiatrist]]</f>
        <v>0</v>
      </c>
      <c r="E69" s="6">
        <f>UnitsTable[[#This Row],[Physicians Assistant]]*CodeRatesTable[[#This Row],[Physicians Assistant]]</f>
        <v>0</v>
      </c>
      <c r="F69" s="6">
        <f>UnitsTable[[#This Row],[Nurse Practitioner]]*CodeRatesTable[[#This Row],[Nurse Practitioner]]</f>
        <v>0</v>
      </c>
      <c r="G69" s="6">
        <f>UnitsTable[[#This Row],[RN]]*CodeRatesTable[[#This Row],[RN]]</f>
        <v>0</v>
      </c>
      <c r="H69" s="6">
        <f>UnitsTable[[#This Row],[Certified Nurse Specialist]]*CodeRatesTable[[#This Row],[Certified Nurse Specialist]]</f>
        <v>0</v>
      </c>
      <c r="I69" s="6">
        <f>UnitsTable[[#This Row],[LVN]]*CodeRatesTable[[#This Row],[LVN]]</f>
        <v>0</v>
      </c>
      <c r="J69" s="6">
        <f>UnitsTable[[#This Row],[Pharmacist]]*CodeRatesTable[[#This Row],[Pharmacist]]</f>
        <v>0</v>
      </c>
      <c r="K69" s="6">
        <f>UnitsTable[[#This Row],[Licensed Psychiatric Technician]]*CodeRatesTable[[#This Row],[Licensed Psychiatric Technician]]</f>
        <v>0</v>
      </c>
      <c r="L69" s="6">
        <f>UnitsTable[[#This Row],[Psychologist/Pre-licensed Psychologist]]*CodeRatesTable[[#This Row],[Psychologist/Pre-licensed Psychologist]]</f>
        <v>0</v>
      </c>
      <c r="M69" s="6">
        <f>UnitsTable[[#This Row],[LPHA (MFT  LCSW  LPCC)/ Intern or Waivered LPHA (MFT  LCSW  LPCC)]]*CodeRatesTable[[#This Row],[LPHA (MFT  LCSW  LPCC)/ Intern or Waivered LPHA (MFT  LCSW  LPCC)]]</f>
        <v>0</v>
      </c>
      <c r="N69" s="6">
        <f>UnitsTable[[#This Row],[Occupational Therapist]]*CodeRatesTable[[#This Row],[Occupational Therapist]]</f>
        <v>0</v>
      </c>
      <c r="O69" s="6">
        <f>UnitsTable[[#This Row],[Mental Health Rehab Specialist]]*CodeRatesTable[[#This Row],[Mental Health Rehab Specialist]]</f>
        <v>0</v>
      </c>
      <c r="P69" s="6">
        <f>UnitsTable[[#This Row],[Peer Recovery Specialist]]*CodeRatesTable[[#This Row],[Peer Recovery Specialist]]</f>
        <v>0</v>
      </c>
      <c r="Q69" s="6">
        <f>UnitsTable[[#This Row],[Other Qualified Providers - Other Designated MH staff that bill medical]]*CodeRatesTable[[#This Row],[Other Qualified Providers - Other Designated MH staff that bill medical]]</f>
        <v>0</v>
      </c>
      <c r="R69" s="6">
        <f>SUM(RevenueTable[[#This Row],[Psychiatrist/ Contracted Psychiatrist]:[Other Qualified Providers - Other Designated MH staff that bill medical]])</f>
        <v>0</v>
      </c>
    </row>
    <row r="70" spans="1:18" hidden="1" x14ac:dyDescent="0.25">
      <c r="A70" s="6" t="str">
        <f>INDEX(CodeMinutesTable[Frequently Used],MATCH(RevenueTable[[#This Row],[Billing Code]],CodeMinutesTable[Code],0))</f>
        <v>No</v>
      </c>
      <c r="B70" s="3" t="s">
        <v>174</v>
      </c>
      <c r="C70" t="s">
        <v>175</v>
      </c>
      <c r="D70" s="6">
        <f>UnitsTable[[#This Row],[Psychiatrist/ Contracted Psychiatrist]]*CodeRatesTable[[#This Row],[Psychiatrist/ Contracted Psychiatrist]]</f>
        <v>0</v>
      </c>
      <c r="E70" s="6">
        <f>UnitsTable[[#This Row],[Physicians Assistant]]*CodeRatesTable[[#This Row],[Physicians Assistant]]</f>
        <v>0</v>
      </c>
      <c r="F70" s="6">
        <f>UnitsTable[[#This Row],[Nurse Practitioner]]*CodeRatesTable[[#This Row],[Nurse Practitioner]]</f>
        <v>0</v>
      </c>
      <c r="G70" s="6">
        <f>UnitsTable[[#This Row],[RN]]*CodeRatesTable[[#This Row],[RN]]</f>
        <v>0</v>
      </c>
      <c r="H70" s="6">
        <f>UnitsTable[[#This Row],[Certified Nurse Specialist]]*CodeRatesTable[[#This Row],[Certified Nurse Specialist]]</f>
        <v>0</v>
      </c>
      <c r="I70" s="6">
        <f>UnitsTable[[#This Row],[LVN]]*CodeRatesTable[[#This Row],[LVN]]</f>
        <v>0</v>
      </c>
      <c r="J70" s="6">
        <f>UnitsTable[[#This Row],[Pharmacist]]*CodeRatesTable[[#This Row],[Pharmacist]]</f>
        <v>0</v>
      </c>
      <c r="K70" s="6">
        <f>UnitsTable[[#This Row],[Licensed Psychiatric Technician]]*CodeRatesTable[[#This Row],[Licensed Psychiatric Technician]]</f>
        <v>0</v>
      </c>
      <c r="L70" s="6">
        <f>UnitsTable[[#This Row],[Psychologist/Pre-licensed Psychologist]]*CodeRatesTable[[#This Row],[Psychologist/Pre-licensed Psychologist]]</f>
        <v>0</v>
      </c>
      <c r="M70" s="6">
        <f>UnitsTable[[#This Row],[LPHA (MFT  LCSW  LPCC)/ Intern or Waivered LPHA (MFT  LCSW  LPCC)]]*CodeRatesTable[[#This Row],[LPHA (MFT  LCSW  LPCC)/ Intern or Waivered LPHA (MFT  LCSW  LPCC)]]</f>
        <v>0</v>
      </c>
      <c r="N70" s="6">
        <f>UnitsTable[[#This Row],[Occupational Therapist]]*CodeRatesTable[[#This Row],[Occupational Therapist]]</f>
        <v>0</v>
      </c>
      <c r="O70" s="6">
        <f>UnitsTable[[#This Row],[Mental Health Rehab Specialist]]*CodeRatesTable[[#This Row],[Mental Health Rehab Specialist]]</f>
        <v>0</v>
      </c>
      <c r="P70" s="6">
        <f>UnitsTable[[#This Row],[Peer Recovery Specialist]]*CodeRatesTable[[#This Row],[Peer Recovery Specialist]]</f>
        <v>0</v>
      </c>
      <c r="Q70" s="6">
        <f>UnitsTable[[#This Row],[Other Qualified Providers - Other Designated MH staff that bill medical]]*CodeRatesTable[[#This Row],[Other Qualified Providers - Other Designated MH staff that bill medical]]</f>
        <v>0</v>
      </c>
      <c r="R70" s="6">
        <f>SUM(RevenueTable[[#This Row],[Psychiatrist/ Contracted Psychiatrist]:[Other Qualified Providers - Other Designated MH staff that bill medical]])</f>
        <v>0</v>
      </c>
    </row>
    <row r="71" spans="1:18" hidden="1" x14ac:dyDescent="0.25">
      <c r="A71" s="6" t="str">
        <f>INDEX(CodeMinutesTable[Frequently Used],MATCH(RevenueTable[[#This Row],[Billing Code]],CodeMinutesTable[Code],0))</f>
        <v>No</v>
      </c>
      <c r="B71" s="3" t="s">
        <v>176</v>
      </c>
      <c r="C71" t="s">
        <v>177</v>
      </c>
      <c r="D71" s="6">
        <f>UnitsTable[[#This Row],[Psychiatrist/ Contracted Psychiatrist]]*CodeRatesTable[[#This Row],[Psychiatrist/ Contracted Psychiatrist]]</f>
        <v>0</v>
      </c>
      <c r="E71" s="6">
        <f>UnitsTable[[#This Row],[Physicians Assistant]]*CodeRatesTable[[#This Row],[Physicians Assistant]]</f>
        <v>0</v>
      </c>
      <c r="F71" s="6">
        <f>UnitsTable[[#This Row],[Nurse Practitioner]]*CodeRatesTable[[#This Row],[Nurse Practitioner]]</f>
        <v>0</v>
      </c>
      <c r="G71" s="6">
        <f>UnitsTable[[#This Row],[RN]]*CodeRatesTable[[#This Row],[RN]]</f>
        <v>0</v>
      </c>
      <c r="H71" s="6">
        <f>UnitsTable[[#This Row],[Certified Nurse Specialist]]*CodeRatesTable[[#This Row],[Certified Nurse Specialist]]</f>
        <v>0</v>
      </c>
      <c r="I71" s="6">
        <f>UnitsTable[[#This Row],[LVN]]*CodeRatesTable[[#This Row],[LVN]]</f>
        <v>0</v>
      </c>
      <c r="J71" s="6">
        <f>UnitsTable[[#This Row],[Pharmacist]]*CodeRatesTable[[#This Row],[Pharmacist]]</f>
        <v>0</v>
      </c>
      <c r="K71" s="6">
        <f>UnitsTable[[#This Row],[Licensed Psychiatric Technician]]*CodeRatesTable[[#This Row],[Licensed Psychiatric Technician]]</f>
        <v>0</v>
      </c>
      <c r="L71" s="6">
        <f>UnitsTable[[#This Row],[Psychologist/Pre-licensed Psychologist]]*CodeRatesTable[[#This Row],[Psychologist/Pre-licensed Psychologist]]</f>
        <v>0</v>
      </c>
      <c r="M71" s="6">
        <f>UnitsTable[[#This Row],[LPHA (MFT  LCSW  LPCC)/ Intern or Waivered LPHA (MFT  LCSW  LPCC)]]*CodeRatesTable[[#This Row],[LPHA (MFT  LCSW  LPCC)/ Intern or Waivered LPHA (MFT  LCSW  LPCC)]]</f>
        <v>0</v>
      </c>
      <c r="N71" s="6">
        <f>UnitsTable[[#This Row],[Occupational Therapist]]*CodeRatesTable[[#This Row],[Occupational Therapist]]</f>
        <v>0</v>
      </c>
      <c r="O71" s="6">
        <f>UnitsTable[[#This Row],[Mental Health Rehab Specialist]]*CodeRatesTable[[#This Row],[Mental Health Rehab Specialist]]</f>
        <v>0</v>
      </c>
      <c r="P71" s="6">
        <f>UnitsTable[[#This Row],[Peer Recovery Specialist]]*CodeRatesTable[[#This Row],[Peer Recovery Specialist]]</f>
        <v>0</v>
      </c>
      <c r="Q71" s="6">
        <f>UnitsTable[[#This Row],[Other Qualified Providers - Other Designated MH staff that bill medical]]*CodeRatesTable[[#This Row],[Other Qualified Providers - Other Designated MH staff that bill medical]]</f>
        <v>0</v>
      </c>
      <c r="R71" s="6">
        <f>SUM(RevenueTable[[#This Row],[Psychiatrist/ Contracted Psychiatrist]:[Other Qualified Providers - Other Designated MH staff that bill medical]])</f>
        <v>0</v>
      </c>
    </row>
    <row r="72" spans="1:18" hidden="1" x14ac:dyDescent="0.25">
      <c r="A72" s="6" t="str">
        <f>INDEX(CodeMinutesTable[Frequently Used],MATCH(RevenueTable[[#This Row],[Billing Code]],CodeMinutesTable[Code],0))</f>
        <v>No</v>
      </c>
      <c r="B72" s="3" t="s">
        <v>178</v>
      </c>
      <c r="C72" t="s">
        <v>179</v>
      </c>
      <c r="D72" s="6">
        <f>UnitsTable[[#This Row],[Psychiatrist/ Contracted Psychiatrist]]*CodeRatesTable[[#This Row],[Psychiatrist/ Contracted Psychiatrist]]</f>
        <v>0</v>
      </c>
      <c r="E72" s="6">
        <f>UnitsTable[[#This Row],[Physicians Assistant]]*CodeRatesTable[[#This Row],[Physicians Assistant]]</f>
        <v>0</v>
      </c>
      <c r="F72" s="6">
        <f>UnitsTable[[#This Row],[Nurse Practitioner]]*CodeRatesTable[[#This Row],[Nurse Practitioner]]</f>
        <v>0</v>
      </c>
      <c r="G72" s="6">
        <f>UnitsTable[[#This Row],[RN]]*CodeRatesTable[[#This Row],[RN]]</f>
        <v>0</v>
      </c>
      <c r="H72" s="6">
        <f>UnitsTable[[#This Row],[Certified Nurse Specialist]]*CodeRatesTable[[#This Row],[Certified Nurse Specialist]]</f>
        <v>0</v>
      </c>
      <c r="I72" s="6">
        <f>UnitsTable[[#This Row],[LVN]]*CodeRatesTable[[#This Row],[LVN]]</f>
        <v>0</v>
      </c>
      <c r="J72" s="6">
        <f>UnitsTable[[#This Row],[Pharmacist]]*CodeRatesTable[[#This Row],[Pharmacist]]</f>
        <v>0</v>
      </c>
      <c r="K72" s="6">
        <f>UnitsTable[[#This Row],[Licensed Psychiatric Technician]]*CodeRatesTable[[#This Row],[Licensed Psychiatric Technician]]</f>
        <v>0</v>
      </c>
      <c r="L72" s="6">
        <f>UnitsTable[[#This Row],[Psychologist/Pre-licensed Psychologist]]*CodeRatesTable[[#This Row],[Psychologist/Pre-licensed Psychologist]]</f>
        <v>0</v>
      </c>
      <c r="M72" s="6">
        <f>UnitsTable[[#This Row],[LPHA (MFT  LCSW  LPCC)/ Intern or Waivered LPHA (MFT  LCSW  LPCC)]]*CodeRatesTable[[#This Row],[LPHA (MFT  LCSW  LPCC)/ Intern or Waivered LPHA (MFT  LCSW  LPCC)]]</f>
        <v>0</v>
      </c>
      <c r="N72" s="6">
        <f>UnitsTable[[#This Row],[Occupational Therapist]]*CodeRatesTable[[#This Row],[Occupational Therapist]]</f>
        <v>0</v>
      </c>
      <c r="O72" s="6">
        <f>UnitsTable[[#This Row],[Mental Health Rehab Specialist]]*CodeRatesTable[[#This Row],[Mental Health Rehab Specialist]]</f>
        <v>0</v>
      </c>
      <c r="P72" s="6">
        <f>UnitsTable[[#This Row],[Peer Recovery Specialist]]*CodeRatesTable[[#This Row],[Peer Recovery Specialist]]</f>
        <v>0</v>
      </c>
      <c r="Q72" s="6">
        <f>UnitsTable[[#This Row],[Other Qualified Providers - Other Designated MH staff that bill medical]]*CodeRatesTable[[#This Row],[Other Qualified Providers - Other Designated MH staff that bill medical]]</f>
        <v>0</v>
      </c>
      <c r="R72" s="6">
        <f>SUM(RevenueTable[[#This Row],[Psychiatrist/ Contracted Psychiatrist]:[Other Qualified Providers - Other Designated MH staff that bill medical]])</f>
        <v>0</v>
      </c>
    </row>
    <row r="73" spans="1:18" hidden="1" x14ac:dyDescent="0.25">
      <c r="A73" s="6" t="str">
        <f>INDEX(CodeMinutesTable[Frequently Used],MATCH(RevenueTable[[#This Row],[Billing Code]],CodeMinutesTable[Code],0))</f>
        <v>No</v>
      </c>
      <c r="B73" s="3" t="s">
        <v>180</v>
      </c>
      <c r="C73" t="s">
        <v>181</v>
      </c>
      <c r="D73" s="6">
        <f>UnitsTable[[#This Row],[Psychiatrist/ Contracted Psychiatrist]]*CodeRatesTable[[#This Row],[Psychiatrist/ Contracted Psychiatrist]]</f>
        <v>0</v>
      </c>
      <c r="E73" s="6">
        <f>UnitsTable[[#This Row],[Physicians Assistant]]*CodeRatesTable[[#This Row],[Physicians Assistant]]</f>
        <v>0</v>
      </c>
      <c r="F73" s="6">
        <f>UnitsTable[[#This Row],[Nurse Practitioner]]*CodeRatesTable[[#This Row],[Nurse Practitioner]]</f>
        <v>0</v>
      </c>
      <c r="G73" s="6">
        <f>UnitsTable[[#This Row],[RN]]*CodeRatesTable[[#This Row],[RN]]</f>
        <v>0</v>
      </c>
      <c r="H73" s="6">
        <f>UnitsTable[[#This Row],[Certified Nurse Specialist]]*CodeRatesTable[[#This Row],[Certified Nurse Specialist]]</f>
        <v>0</v>
      </c>
      <c r="I73" s="6">
        <f>UnitsTable[[#This Row],[LVN]]*CodeRatesTable[[#This Row],[LVN]]</f>
        <v>0</v>
      </c>
      <c r="J73" s="6">
        <f>UnitsTable[[#This Row],[Pharmacist]]*CodeRatesTable[[#This Row],[Pharmacist]]</f>
        <v>0</v>
      </c>
      <c r="K73" s="6">
        <f>UnitsTable[[#This Row],[Licensed Psychiatric Technician]]*CodeRatesTable[[#This Row],[Licensed Psychiatric Technician]]</f>
        <v>0</v>
      </c>
      <c r="L73" s="6">
        <f>UnitsTable[[#This Row],[Psychologist/Pre-licensed Psychologist]]*CodeRatesTable[[#This Row],[Psychologist/Pre-licensed Psychologist]]</f>
        <v>0</v>
      </c>
      <c r="M73" s="6">
        <f>UnitsTable[[#This Row],[LPHA (MFT  LCSW  LPCC)/ Intern or Waivered LPHA (MFT  LCSW  LPCC)]]*CodeRatesTable[[#This Row],[LPHA (MFT  LCSW  LPCC)/ Intern or Waivered LPHA (MFT  LCSW  LPCC)]]</f>
        <v>0</v>
      </c>
      <c r="N73" s="6">
        <f>UnitsTable[[#This Row],[Occupational Therapist]]*CodeRatesTable[[#This Row],[Occupational Therapist]]</f>
        <v>0</v>
      </c>
      <c r="O73" s="6">
        <f>UnitsTable[[#This Row],[Mental Health Rehab Specialist]]*CodeRatesTable[[#This Row],[Mental Health Rehab Specialist]]</f>
        <v>0</v>
      </c>
      <c r="P73" s="6">
        <f>UnitsTable[[#This Row],[Peer Recovery Specialist]]*CodeRatesTable[[#This Row],[Peer Recovery Specialist]]</f>
        <v>0</v>
      </c>
      <c r="Q73" s="6">
        <f>UnitsTable[[#This Row],[Other Qualified Providers - Other Designated MH staff that bill medical]]*CodeRatesTable[[#This Row],[Other Qualified Providers - Other Designated MH staff that bill medical]]</f>
        <v>0</v>
      </c>
      <c r="R73" s="6">
        <f>SUM(RevenueTable[[#This Row],[Psychiatrist/ Contracted Psychiatrist]:[Other Qualified Providers - Other Designated MH staff that bill medical]])</f>
        <v>0</v>
      </c>
    </row>
    <row r="74" spans="1:18" hidden="1" x14ac:dyDescent="0.25">
      <c r="A74" s="6" t="str">
        <f>INDEX(CodeMinutesTable[Frequently Used],MATCH(RevenueTable[[#This Row],[Billing Code]],CodeMinutesTable[Code],0))</f>
        <v>No</v>
      </c>
      <c r="B74" s="3" t="s">
        <v>182</v>
      </c>
      <c r="C74" t="s">
        <v>183</v>
      </c>
      <c r="D74" s="6">
        <f>UnitsTable[[#This Row],[Psychiatrist/ Contracted Psychiatrist]]*CodeRatesTable[[#This Row],[Psychiatrist/ Contracted Psychiatrist]]</f>
        <v>0</v>
      </c>
      <c r="E74" s="6">
        <f>UnitsTable[[#This Row],[Physicians Assistant]]*CodeRatesTable[[#This Row],[Physicians Assistant]]</f>
        <v>0</v>
      </c>
      <c r="F74" s="6">
        <f>UnitsTable[[#This Row],[Nurse Practitioner]]*CodeRatesTable[[#This Row],[Nurse Practitioner]]</f>
        <v>0</v>
      </c>
      <c r="G74" s="6">
        <f>UnitsTable[[#This Row],[RN]]*CodeRatesTable[[#This Row],[RN]]</f>
        <v>0</v>
      </c>
      <c r="H74" s="6">
        <f>UnitsTable[[#This Row],[Certified Nurse Specialist]]*CodeRatesTable[[#This Row],[Certified Nurse Specialist]]</f>
        <v>0</v>
      </c>
      <c r="I74" s="6">
        <f>UnitsTable[[#This Row],[LVN]]*CodeRatesTable[[#This Row],[LVN]]</f>
        <v>0</v>
      </c>
      <c r="J74" s="6">
        <f>UnitsTable[[#This Row],[Pharmacist]]*CodeRatesTable[[#This Row],[Pharmacist]]</f>
        <v>0</v>
      </c>
      <c r="K74" s="6">
        <f>UnitsTable[[#This Row],[Licensed Psychiatric Technician]]*CodeRatesTable[[#This Row],[Licensed Psychiatric Technician]]</f>
        <v>0</v>
      </c>
      <c r="L74" s="6">
        <f>UnitsTable[[#This Row],[Psychologist/Pre-licensed Psychologist]]*CodeRatesTable[[#This Row],[Psychologist/Pre-licensed Psychologist]]</f>
        <v>0</v>
      </c>
      <c r="M74" s="6">
        <f>UnitsTable[[#This Row],[LPHA (MFT  LCSW  LPCC)/ Intern or Waivered LPHA (MFT  LCSW  LPCC)]]*CodeRatesTable[[#This Row],[LPHA (MFT  LCSW  LPCC)/ Intern or Waivered LPHA (MFT  LCSW  LPCC)]]</f>
        <v>0</v>
      </c>
      <c r="N74" s="6">
        <f>UnitsTable[[#This Row],[Occupational Therapist]]*CodeRatesTable[[#This Row],[Occupational Therapist]]</f>
        <v>0</v>
      </c>
      <c r="O74" s="6">
        <f>UnitsTable[[#This Row],[Mental Health Rehab Specialist]]*CodeRatesTable[[#This Row],[Mental Health Rehab Specialist]]</f>
        <v>0</v>
      </c>
      <c r="P74" s="6">
        <f>UnitsTable[[#This Row],[Peer Recovery Specialist]]*CodeRatesTable[[#This Row],[Peer Recovery Specialist]]</f>
        <v>0</v>
      </c>
      <c r="Q74" s="6">
        <f>UnitsTable[[#This Row],[Other Qualified Providers - Other Designated MH staff that bill medical]]*CodeRatesTable[[#This Row],[Other Qualified Providers - Other Designated MH staff that bill medical]]</f>
        <v>0</v>
      </c>
      <c r="R74" s="6">
        <f>SUM(RevenueTable[[#This Row],[Psychiatrist/ Contracted Psychiatrist]:[Other Qualified Providers - Other Designated MH staff that bill medical]])</f>
        <v>0</v>
      </c>
    </row>
    <row r="75" spans="1:18" hidden="1" x14ac:dyDescent="0.25">
      <c r="A75" s="6" t="str">
        <f>INDEX(CodeMinutesTable[Frequently Used],MATCH(RevenueTable[[#This Row],[Billing Code]],CodeMinutesTable[Code],0))</f>
        <v>No</v>
      </c>
      <c r="B75" s="3" t="s">
        <v>184</v>
      </c>
      <c r="C75" t="s">
        <v>185</v>
      </c>
      <c r="D75" s="6">
        <f>UnitsTable[[#This Row],[Psychiatrist/ Contracted Psychiatrist]]*CodeRatesTable[[#This Row],[Psychiatrist/ Contracted Psychiatrist]]</f>
        <v>0</v>
      </c>
      <c r="E75" s="6">
        <f>UnitsTable[[#This Row],[Physicians Assistant]]*CodeRatesTable[[#This Row],[Physicians Assistant]]</f>
        <v>0</v>
      </c>
      <c r="F75" s="6">
        <f>UnitsTable[[#This Row],[Nurse Practitioner]]*CodeRatesTable[[#This Row],[Nurse Practitioner]]</f>
        <v>0</v>
      </c>
      <c r="G75" s="6">
        <f>UnitsTable[[#This Row],[RN]]*CodeRatesTable[[#This Row],[RN]]</f>
        <v>0</v>
      </c>
      <c r="H75" s="6">
        <f>UnitsTable[[#This Row],[Certified Nurse Specialist]]*CodeRatesTable[[#This Row],[Certified Nurse Specialist]]</f>
        <v>0</v>
      </c>
      <c r="I75" s="6">
        <f>UnitsTable[[#This Row],[LVN]]*CodeRatesTable[[#This Row],[LVN]]</f>
        <v>0</v>
      </c>
      <c r="J75" s="6">
        <f>UnitsTable[[#This Row],[Pharmacist]]*CodeRatesTable[[#This Row],[Pharmacist]]</f>
        <v>0</v>
      </c>
      <c r="K75" s="6">
        <f>UnitsTable[[#This Row],[Licensed Psychiatric Technician]]*CodeRatesTable[[#This Row],[Licensed Psychiatric Technician]]</f>
        <v>0</v>
      </c>
      <c r="L75" s="6">
        <f>UnitsTable[[#This Row],[Psychologist/Pre-licensed Psychologist]]*CodeRatesTable[[#This Row],[Psychologist/Pre-licensed Psychologist]]</f>
        <v>0</v>
      </c>
      <c r="M75" s="6">
        <f>UnitsTable[[#This Row],[LPHA (MFT  LCSW  LPCC)/ Intern or Waivered LPHA (MFT  LCSW  LPCC)]]*CodeRatesTable[[#This Row],[LPHA (MFT  LCSW  LPCC)/ Intern or Waivered LPHA (MFT  LCSW  LPCC)]]</f>
        <v>0</v>
      </c>
      <c r="N75" s="6">
        <f>UnitsTable[[#This Row],[Occupational Therapist]]*CodeRatesTable[[#This Row],[Occupational Therapist]]</f>
        <v>0</v>
      </c>
      <c r="O75" s="6">
        <f>UnitsTable[[#This Row],[Mental Health Rehab Specialist]]*CodeRatesTable[[#This Row],[Mental Health Rehab Specialist]]</f>
        <v>0</v>
      </c>
      <c r="P75" s="6">
        <f>UnitsTable[[#This Row],[Peer Recovery Specialist]]*CodeRatesTable[[#This Row],[Peer Recovery Specialist]]</f>
        <v>0</v>
      </c>
      <c r="Q75" s="6">
        <f>UnitsTable[[#This Row],[Other Qualified Providers - Other Designated MH staff that bill medical]]*CodeRatesTable[[#This Row],[Other Qualified Providers - Other Designated MH staff that bill medical]]</f>
        <v>0</v>
      </c>
      <c r="R75" s="6">
        <f>SUM(RevenueTable[[#This Row],[Psychiatrist/ Contracted Psychiatrist]:[Other Qualified Providers - Other Designated MH staff that bill medical]])</f>
        <v>0</v>
      </c>
    </row>
    <row r="76" spans="1:18" hidden="1" x14ac:dyDescent="0.25">
      <c r="A76" s="6" t="str">
        <f>INDEX(CodeMinutesTable[Frequently Used],MATCH(RevenueTable[[#This Row],[Billing Code]],CodeMinutesTable[Code],0))</f>
        <v>No</v>
      </c>
      <c r="B76" s="3" t="s">
        <v>186</v>
      </c>
      <c r="C76" t="s">
        <v>187</v>
      </c>
      <c r="D76" s="6">
        <f>UnitsTable[[#This Row],[Psychiatrist/ Contracted Psychiatrist]]*CodeRatesTable[[#This Row],[Psychiatrist/ Contracted Psychiatrist]]</f>
        <v>0</v>
      </c>
      <c r="E76" s="6">
        <f>UnitsTable[[#This Row],[Physicians Assistant]]*CodeRatesTable[[#This Row],[Physicians Assistant]]</f>
        <v>0</v>
      </c>
      <c r="F76" s="6">
        <f>UnitsTable[[#This Row],[Nurse Practitioner]]*CodeRatesTable[[#This Row],[Nurse Practitioner]]</f>
        <v>0</v>
      </c>
      <c r="G76" s="6">
        <f>UnitsTable[[#This Row],[RN]]*CodeRatesTable[[#This Row],[RN]]</f>
        <v>0</v>
      </c>
      <c r="H76" s="6">
        <f>UnitsTable[[#This Row],[Certified Nurse Specialist]]*CodeRatesTable[[#This Row],[Certified Nurse Specialist]]</f>
        <v>0</v>
      </c>
      <c r="I76" s="6">
        <f>UnitsTable[[#This Row],[LVN]]*CodeRatesTable[[#This Row],[LVN]]</f>
        <v>0</v>
      </c>
      <c r="J76" s="6">
        <f>UnitsTable[[#This Row],[Pharmacist]]*CodeRatesTable[[#This Row],[Pharmacist]]</f>
        <v>0</v>
      </c>
      <c r="K76" s="6">
        <f>UnitsTable[[#This Row],[Licensed Psychiatric Technician]]*CodeRatesTable[[#This Row],[Licensed Psychiatric Technician]]</f>
        <v>0</v>
      </c>
      <c r="L76" s="6">
        <f>UnitsTable[[#This Row],[Psychologist/Pre-licensed Psychologist]]*CodeRatesTable[[#This Row],[Psychologist/Pre-licensed Psychologist]]</f>
        <v>0</v>
      </c>
      <c r="M76" s="6">
        <f>UnitsTable[[#This Row],[LPHA (MFT  LCSW  LPCC)/ Intern or Waivered LPHA (MFT  LCSW  LPCC)]]*CodeRatesTable[[#This Row],[LPHA (MFT  LCSW  LPCC)/ Intern or Waivered LPHA (MFT  LCSW  LPCC)]]</f>
        <v>0</v>
      </c>
      <c r="N76" s="6">
        <f>UnitsTable[[#This Row],[Occupational Therapist]]*CodeRatesTable[[#This Row],[Occupational Therapist]]</f>
        <v>0</v>
      </c>
      <c r="O76" s="6">
        <f>UnitsTable[[#This Row],[Mental Health Rehab Specialist]]*CodeRatesTable[[#This Row],[Mental Health Rehab Specialist]]</f>
        <v>0</v>
      </c>
      <c r="P76" s="6">
        <f>UnitsTable[[#This Row],[Peer Recovery Specialist]]*CodeRatesTable[[#This Row],[Peer Recovery Specialist]]</f>
        <v>0</v>
      </c>
      <c r="Q76" s="6">
        <f>UnitsTable[[#This Row],[Other Qualified Providers - Other Designated MH staff that bill medical]]*CodeRatesTable[[#This Row],[Other Qualified Providers - Other Designated MH staff that bill medical]]</f>
        <v>0</v>
      </c>
      <c r="R76" s="6">
        <f>SUM(RevenueTable[[#This Row],[Psychiatrist/ Contracted Psychiatrist]:[Other Qualified Providers - Other Designated MH staff that bill medical]])</f>
        <v>0</v>
      </c>
    </row>
    <row r="77" spans="1:18" hidden="1" x14ac:dyDescent="0.25">
      <c r="A77" s="6" t="str">
        <f>INDEX(CodeMinutesTable[Frequently Used],MATCH(RevenueTable[[#This Row],[Billing Code]],CodeMinutesTable[Code],0))</f>
        <v>No</v>
      </c>
      <c r="B77" s="3" t="s">
        <v>188</v>
      </c>
      <c r="C77" t="s">
        <v>189</v>
      </c>
      <c r="D77" s="6">
        <f>UnitsTable[[#This Row],[Psychiatrist/ Contracted Psychiatrist]]*CodeRatesTable[[#This Row],[Psychiatrist/ Contracted Psychiatrist]]</f>
        <v>0</v>
      </c>
      <c r="E77" s="6">
        <f>UnitsTable[[#This Row],[Physicians Assistant]]*CodeRatesTable[[#This Row],[Physicians Assistant]]</f>
        <v>0</v>
      </c>
      <c r="F77" s="6">
        <f>UnitsTable[[#This Row],[Nurse Practitioner]]*CodeRatesTable[[#This Row],[Nurse Practitioner]]</f>
        <v>0</v>
      </c>
      <c r="G77" s="6">
        <f>UnitsTable[[#This Row],[RN]]*CodeRatesTable[[#This Row],[RN]]</f>
        <v>0</v>
      </c>
      <c r="H77" s="6">
        <f>UnitsTable[[#This Row],[Certified Nurse Specialist]]*CodeRatesTable[[#This Row],[Certified Nurse Specialist]]</f>
        <v>0</v>
      </c>
      <c r="I77" s="6">
        <f>UnitsTable[[#This Row],[LVN]]*CodeRatesTable[[#This Row],[LVN]]</f>
        <v>0</v>
      </c>
      <c r="J77" s="6">
        <f>UnitsTable[[#This Row],[Pharmacist]]*CodeRatesTable[[#This Row],[Pharmacist]]</f>
        <v>0</v>
      </c>
      <c r="K77" s="6">
        <f>UnitsTable[[#This Row],[Licensed Psychiatric Technician]]*CodeRatesTable[[#This Row],[Licensed Psychiatric Technician]]</f>
        <v>0</v>
      </c>
      <c r="L77" s="6">
        <f>UnitsTable[[#This Row],[Psychologist/Pre-licensed Psychologist]]*CodeRatesTable[[#This Row],[Psychologist/Pre-licensed Psychologist]]</f>
        <v>0</v>
      </c>
      <c r="M77" s="6">
        <f>UnitsTable[[#This Row],[LPHA (MFT  LCSW  LPCC)/ Intern or Waivered LPHA (MFT  LCSW  LPCC)]]*CodeRatesTable[[#This Row],[LPHA (MFT  LCSW  LPCC)/ Intern or Waivered LPHA (MFT  LCSW  LPCC)]]</f>
        <v>0</v>
      </c>
      <c r="N77" s="6">
        <f>UnitsTable[[#This Row],[Occupational Therapist]]*CodeRatesTable[[#This Row],[Occupational Therapist]]</f>
        <v>0</v>
      </c>
      <c r="O77" s="6">
        <f>UnitsTable[[#This Row],[Mental Health Rehab Specialist]]*CodeRatesTable[[#This Row],[Mental Health Rehab Specialist]]</f>
        <v>0</v>
      </c>
      <c r="P77" s="6">
        <f>UnitsTable[[#This Row],[Peer Recovery Specialist]]*CodeRatesTable[[#This Row],[Peer Recovery Specialist]]</f>
        <v>0</v>
      </c>
      <c r="Q77" s="6">
        <f>UnitsTable[[#This Row],[Other Qualified Providers - Other Designated MH staff that bill medical]]*CodeRatesTable[[#This Row],[Other Qualified Providers - Other Designated MH staff that bill medical]]</f>
        <v>0</v>
      </c>
      <c r="R77" s="6">
        <f>SUM(RevenueTable[[#This Row],[Psychiatrist/ Contracted Psychiatrist]:[Other Qualified Providers - Other Designated MH staff that bill medical]])</f>
        <v>0</v>
      </c>
    </row>
    <row r="78" spans="1:18" hidden="1" x14ac:dyDescent="0.25">
      <c r="A78" s="6" t="str">
        <f>INDEX(CodeMinutesTable[Frequently Used],MATCH(RevenueTable[[#This Row],[Billing Code]],CodeMinutesTable[Code],0))</f>
        <v>No</v>
      </c>
      <c r="B78" s="3" t="s">
        <v>190</v>
      </c>
      <c r="C78" t="s">
        <v>191</v>
      </c>
      <c r="D78" s="6">
        <f>UnitsTable[[#This Row],[Psychiatrist/ Contracted Psychiatrist]]*CodeRatesTable[[#This Row],[Psychiatrist/ Contracted Psychiatrist]]</f>
        <v>0</v>
      </c>
      <c r="E78" s="6">
        <f>UnitsTable[[#This Row],[Physicians Assistant]]*CodeRatesTable[[#This Row],[Physicians Assistant]]</f>
        <v>0</v>
      </c>
      <c r="F78" s="6">
        <f>UnitsTable[[#This Row],[Nurse Practitioner]]*CodeRatesTable[[#This Row],[Nurse Practitioner]]</f>
        <v>0</v>
      </c>
      <c r="G78" s="6">
        <f>UnitsTable[[#This Row],[RN]]*CodeRatesTable[[#This Row],[RN]]</f>
        <v>0</v>
      </c>
      <c r="H78" s="6">
        <f>UnitsTable[[#This Row],[Certified Nurse Specialist]]*CodeRatesTable[[#This Row],[Certified Nurse Specialist]]</f>
        <v>0</v>
      </c>
      <c r="I78" s="6">
        <f>UnitsTable[[#This Row],[LVN]]*CodeRatesTable[[#This Row],[LVN]]</f>
        <v>0</v>
      </c>
      <c r="J78" s="6">
        <f>UnitsTable[[#This Row],[Pharmacist]]*CodeRatesTable[[#This Row],[Pharmacist]]</f>
        <v>0</v>
      </c>
      <c r="K78" s="6">
        <f>UnitsTable[[#This Row],[Licensed Psychiatric Technician]]*CodeRatesTable[[#This Row],[Licensed Psychiatric Technician]]</f>
        <v>0</v>
      </c>
      <c r="L78" s="6">
        <f>UnitsTable[[#This Row],[Psychologist/Pre-licensed Psychologist]]*CodeRatesTable[[#This Row],[Psychologist/Pre-licensed Psychologist]]</f>
        <v>0</v>
      </c>
      <c r="M78" s="6">
        <f>UnitsTable[[#This Row],[LPHA (MFT  LCSW  LPCC)/ Intern or Waivered LPHA (MFT  LCSW  LPCC)]]*CodeRatesTable[[#This Row],[LPHA (MFT  LCSW  LPCC)/ Intern or Waivered LPHA (MFT  LCSW  LPCC)]]</f>
        <v>0</v>
      </c>
      <c r="N78" s="6">
        <f>UnitsTable[[#This Row],[Occupational Therapist]]*CodeRatesTable[[#This Row],[Occupational Therapist]]</f>
        <v>0</v>
      </c>
      <c r="O78" s="6">
        <f>UnitsTable[[#This Row],[Mental Health Rehab Specialist]]*CodeRatesTable[[#This Row],[Mental Health Rehab Specialist]]</f>
        <v>0</v>
      </c>
      <c r="P78" s="6">
        <f>UnitsTable[[#This Row],[Peer Recovery Specialist]]*CodeRatesTable[[#This Row],[Peer Recovery Specialist]]</f>
        <v>0</v>
      </c>
      <c r="Q78" s="6">
        <f>UnitsTable[[#This Row],[Other Qualified Providers - Other Designated MH staff that bill medical]]*CodeRatesTable[[#This Row],[Other Qualified Providers - Other Designated MH staff that bill medical]]</f>
        <v>0</v>
      </c>
      <c r="R78" s="6">
        <f>SUM(RevenueTable[[#This Row],[Psychiatrist/ Contracted Psychiatrist]:[Other Qualified Providers - Other Designated MH staff that bill medical]])</f>
        <v>0</v>
      </c>
    </row>
    <row r="79" spans="1:18" hidden="1" x14ac:dyDescent="0.25">
      <c r="A79" s="6" t="str">
        <f>INDEX(CodeMinutesTable[Frequently Used],MATCH(RevenueTable[[#This Row],[Billing Code]],CodeMinutesTable[Code],0))</f>
        <v>No</v>
      </c>
      <c r="B79" s="3" t="s">
        <v>192</v>
      </c>
      <c r="C79" t="s">
        <v>193</v>
      </c>
      <c r="D79" s="6">
        <f>UnitsTable[[#This Row],[Psychiatrist/ Contracted Psychiatrist]]*CodeRatesTable[[#This Row],[Psychiatrist/ Contracted Psychiatrist]]</f>
        <v>0</v>
      </c>
      <c r="E79" s="6">
        <f>UnitsTable[[#This Row],[Physicians Assistant]]*CodeRatesTable[[#This Row],[Physicians Assistant]]</f>
        <v>0</v>
      </c>
      <c r="F79" s="6">
        <f>UnitsTable[[#This Row],[Nurse Practitioner]]*CodeRatesTable[[#This Row],[Nurse Practitioner]]</f>
        <v>0</v>
      </c>
      <c r="G79" s="6">
        <f>UnitsTable[[#This Row],[RN]]*CodeRatesTable[[#This Row],[RN]]</f>
        <v>0</v>
      </c>
      <c r="H79" s="6">
        <f>UnitsTable[[#This Row],[Certified Nurse Specialist]]*CodeRatesTable[[#This Row],[Certified Nurse Specialist]]</f>
        <v>0</v>
      </c>
      <c r="I79" s="6">
        <f>UnitsTable[[#This Row],[LVN]]*CodeRatesTable[[#This Row],[LVN]]</f>
        <v>0</v>
      </c>
      <c r="J79" s="6">
        <f>UnitsTable[[#This Row],[Pharmacist]]*CodeRatesTable[[#This Row],[Pharmacist]]</f>
        <v>0</v>
      </c>
      <c r="K79" s="6">
        <f>UnitsTable[[#This Row],[Licensed Psychiatric Technician]]*CodeRatesTable[[#This Row],[Licensed Psychiatric Technician]]</f>
        <v>0</v>
      </c>
      <c r="L79" s="6">
        <f>UnitsTable[[#This Row],[Psychologist/Pre-licensed Psychologist]]*CodeRatesTable[[#This Row],[Psychologist/Pre-licensed Psychologist]]</f>
        <v>0</v>
      </c>
      <c r="M79" s="6">
        <f>UnitsTable[[#This Row],[LPHA (MFT  LCSW  LPCC)/ Intern or Waivered LPHA (MFT  LCSW  LPCC)]]*CodeRatesTable[[#This Row],[LPHA (MFT  LCSW  LPCC)/ Intern or Waivered LPHA (MFT  LCSW  LPCC)]]</f>
        <v>0</v>
      </c>
      <c r="N79" s="6">
        <f>UnitsTable[[#This Row],[Occupational Therapist]]*CodeRatesTable[[#This Row],[Occupational Therapist]]</f>
        <v>0</v>
      </c>
      <c r="O79" s="6">
        <f>UnitsTable[[#This Row],[Mental Health Rehab Specialist]]*CodeRatesTable[[#This Row],[Mental Health Rehab Specialist]]</f>
        <v>0</v>
      </c>
      <c r="P79" s="6">
        <f>UnitsTable[[#This Row],[Peer Recovery Specialist]]*CodeRatesTable[[#This Row],[Peer Recovery Specialist]]</f>
        <v>0</v>
      </c>
      <c r="Q79" s="6">
        <f>UnitsTable[[#This Row],[Other Qualified Providers - Other Designated MH staff that bill medical]]*CodeRatesTable[[#This Row],[Other Qualified Providers - Other Designated MH staff that bill medical]]</f>
        <v>0</v>
      </c>
      <c r="R79" s="6">
        <f>SUM(RevenueTable[[#This Row],[Psychiatrist/ Contracted Psychiatrist]:[Other Qualified Providers - Other Designated MH staff that bill medical]])</f>
        <v>0</v>
      </c>
    </row>
    <row r="80" spans="1:18" hidden="1" x14ac:dyDescent="0.25">
      <c r="A80" s="6" t="str">
        <f>INDEX(CodeMinutesTable[Frequently Used],MATCH(RevenueTable[[#This Row],[Billing Code]],CodeMinutesTable[Code],0))</f>
        <v>No</v>
      </c>
      <c r="B80" s="3" t="s">
        <v>194</v>
      </c>
      <c r="C80" t="s">
        <v>195</v>
      </c>
      <c r="D80" s="6">
        <f>UnitsTable[[#This Row],[Psychiatrist/ Contracted Psychiatrist]]*CodeRatesTable[[#This Row],[Psychiatrist/ Contracted Psychiatrist]]</f>
        <v>0</v>
      </c>
      <c r="E80" s="6">
        <f>UnitsTable[[#This Row],[Physicians Assistant]]*CodeRatesTable[[#This Row],[Physicians Assistant]]</f>
        <v>0</v>
      </c>
      <c r="F80" s="6">
        <f>UnitsTable[[#This Row],[Nurse Practitioner]]*CodeRatesTable[[#This Row],[Nurse Practitioner]]</f>
        <v>0</v>
      </c>
      <c r="G80" s="6">
        <f>UnitsTable[[#This Row],[RN]]*CodeRatesTable[[#This Row],[RN]]</f>
        <v>0</v>
      </c>
      <c r="H80" s="6">
        <f>UnitsTable[[#This Row],[Certified Nurse Specialist]]*CodeRatesTable[[#This Row],[Certified Nurse Specialist]]</f>
        <v>0</v>
      </c>
      <c r="I80" s="6">
        <f>UnitsTable[[#This Row],[LVN]]*CodeRatesTable[[#This Row],[LVN]]</f>
        <v>0</v>
      </c>
      <c r="J80" s="6">
        <f>UnitsTable[[#This Row],[Pharmacist]]*CodeRatesTable[[#This Row],[Pharmacist]]</f>
        <v>0</v>
      </c>
      <c r="K80" s="6">
        <f>UnitsTable[[#This Row],[Licensed Psychiatric Technician]]*CodeRatesTable[[#This Row],[Licensed Psychiatric Technician]]</f>
        <v>0</v>
      </c>
      <c r="L80" s="6">
        <f>UnitsTable[[#This Row],[Psychologist/Pre-licensed Psychologist]]*CodeRatesTable[[#This Row],[Psychologist/Pre-licensed Psychologist]]</f>
        <v>0</v>
      </c>
      <c r="M80" s="6">
        <f>UnitsTable[[#This Row],[LPHA (MFT  LCSW  LPCC)/ Intern or Waivered LPHA (MFT  LCSW  LPCC)]]*CodeRatesTable[[#This Row],[LPHA (MFT  LCSW  LPCC)/ Intern or Waivered LPHA (MFT  LCSW  LPCC)]]</f>
        <v>0</v>
      </c>
      <c r="N80" s="6">
        <f>UnitsTable[[#This Row],[Occupational Therapist]]*CodeRatesTable[[#This Row],[Occupational Therapist]]</f>
        <v>0</v>
      </c>
      <c r="O80" s="6">
        <f>UnitsTable[[#This Row],[Mental Health Rehab Specialist]]*CodeRatesTable[[#This Row],[Mental Health Rehab Specialist]]</f>
        <v>0</v>
      </c>
      <c r="P80" s="6">
        <f>UnitsTable[[#This Row],[Peer Recovery Specialist]]*CodeRatesTable[[#This Row],[Peer Recovery Specialist]]</f>
        <v>0</v>
      </c>
      <c r="Q80" s="6">
        <f>UnitsTable[[#This Row],[Other Qualified Providers - Other Designated MH staff that bill medical]]*CodeRatesTable[[#This Row],[Other Qualified Providers - Other Designated MH staff that bill medical]]</f>
        <v>0</v>
      </c>
      <c r="R80" s="6">
        <f>SUM(RevenueTable[[#This Row],[Psychiatrist/ Contracted Psychiatrist]:[Other Qualified Providers - Other Designated MH staff that bill medical]])</f>
        <v>0</v>
      </c>
    </row>
    <row r="81" spans="1:18" hidden="1" x14ac:dyDescent="0.25">
      <c r="A81" s="6" t="str">
        <f>INDEX(CodeMinutesTable[Frequently Used],MATCH(RevenueTable[[#This Row],[Billing Code]],CodeMinutesTable[Code],0))</f>
        <v>No</v>
      </c>
      <c r="B81" s="3" t="s">
        <v>196</v>
      </c>
      <c r="C81" t="s">
        <v>197</v>
      </c>
      <c r="D81" s="6">
        <f>UnitsTable[[#This Row],[Psychiatrist/ Contracted Psychiatrist]]*CodeRatesTable[[#This Row],[Psychiatrist/ Contracted Psychiatrist]]</f>
        <v>0</v>
      </c>
      <c r="E81" s="6">
        <f>UnitsTable[[#This Row],[Physicians Assistant]]*CodeRatesTable[[#This Row],[Physicians Assistant]]</f>
        <v>0</v>
      </c>
      <c r="F81" s="6">
        <f>UnitsTable[[#This Row],[Nurse Practitioner]]*CodeRatesTable[[#This Row],[Nurse Practitioner]]</f>
        <v>0</v>
      </c>
      <c r="G81" s="6">
        <f>UnitsTable[[#This Row],[RN]]*CodeRatesTable[[#This Row],[RN]]</f>
        <v>0</v>
      </c>
      <c r="H81" s="6">
        <f>UnitsTable[[#This Row],[Certified Nurse Specialist]]*CodeRatesTable[[#This Row],[Certified Nurse Specialist]]</f>
        <v>0</v>
      </c>
      <c r="I81" s="6">
        <f>UnitsTable[[#This Row],[LVN]]*CodeRatesTable[[#This Row],[LVN]]</f>
        <v>0</v>
      </c>
      <c r="J81" s="6">
        <f>UnitsTable[[#This Row],[Pharmacist]]*CodeRatesTable[[#This Row],[Pharmacist]]</f>
        <v>0</v>
      </c>
      <c r="K81" s="6">
        <f>UnitsTable[[#This Row],[Licensed Psychiatric Technician]]*CodeRatesTable[[#This Row],[Licensed Psychiatric Technician]]</f>
        <v>0</v>
      </c>
      <c r="L81" s="6">
        <f>UnitsTable[[#This Row],[Psychologist/Pre-licensed Psychologist]]*CodeRatesTable[[#This Row],[Psychologist/Pre-licensed Psychologist]]</f>
        <v>0</v>
      </c>
      <c r="M81" s="6">
        <f>UnitsTable[[#This Row],[LPHA (MFT  LCSW  LPCC)/ Intern or Waivered LPHA (MFT  LCSW  LPCC)]]*CodeRatesTable[[#This Row],[LPHA (MFT  LCSW  LPCC)/ Intern or Waivered LPHA (MFT  LCSW  LPCC)]]</f>
        <v>0</v>
      </c>
      <c r="N81" s="6">
        <f>UnitsTable[[#This Row],[Occupational Therapist]]*CodeRatesTable[[#This Row],[Occupational Therapist]]</f>
        <v>0</v>
      </c>
      <c r="O81" s="6">
        <f>UnitsTable[[#This Row],[Mental Health Rehab Specialist]]*CodeRatesTable[[#This Row],[Mental Health Rehab Specialist]]</f>
        <v>0</v>
      </c>
      <c r="P81" s="6">
        <f>UnitsTable[[#This Row],[Peer Recovery Specialist]]*CodeRatesTable[[#This Row],[Peer Recovery Specialist]]</f>
        <v>0</v>
      </c>
      <c r="Q81" s="6">
        <f>UnitsTable[[#This Row],[Other Qualified Providers - Other Designated MH staff that bill medical]]*CodeRatesTable[[#This Row],[Other Qualified Providers - Other Designated MH staff that bill medical]]</f>
        <v>0</v>
      </c>
      <c r="R81" s="6">
        <f>SUM(RevenueTable[[#This Row],[Psychiatrist/ Contracted Psychiatrist]:[Other Qualified Providers - Other Designated MH staff that bill medical]])</f>
        <v>0</v>
      </c>
    </row>
    <row r="82" spans="1:18" hidden="1" x14ac:dyDescent="0.25">
      <c r="A82" s="6" t="str">
        <f>INDEX(CodeMinutesTable[Frequently Used],MATCH(RevenueTable[[#This Row],[Billing Code]],CodeMinutesTable[Code],0))</f>
        <v>No</v>
      </c>
      <c r="B82" s="3" t="s">
        <v>198</v>
      </c>
      <c r="C82" t="s">
        <v>199</v>
      </c>
      <c r="D82" s="6">
        <f>UnitsTable[[#This Row],[Psychiatrist/ Contracted Psychiatrist]]*CodeRatesTable[[#This Row],[Psychiatrist/ Contracted Psychiatrist]]</f>
        <v>0</v>
      </c>
      <c r="E82" s="6">
        <f>UnitsTable[[#This Row],[Physicians Assistant]]*CodeRatesTable[[#This Row],[Physicians Assistant]]</f>
        <v>0</v>
      </c>
      <c r="F82" s="6">
        <f>UnitsTable[[#This Row],[Nurse Practitioner]]*CodeRatesTable[[#This Row],[Nurse Practitioner]]</f>
        <v>0</v>
      </c>
      <c r="G82" s="6">
        <f>UnitsTable[[#This Row],[RN]]*CodeRatesTable[[#This Row],[RN]]</f>
        <v>0</v>
      </c>
      <c r="H82" s="6">
        <f>UnitsTable[[#This Row],[Certified Nurse Specialist]]*CodeRatesTable[[#This Row],[Certified Nurse Specialist]]</f>
        <v>0</v>
      </c>
      <c r="I82" s="6">
        <f>UnitsTable[[#This Row],[LVN]]*CodeRatesTable[[#This Row],[LVN]]</f>
        <v>0</v>
      </c>
      <c r="J82" s="6">
        <f>UnitsTable[[#This Row],[Pharmacist]]*CodeRatesTable[[#This Row],[Pharmacist]]</f>
        <v>0</v>
      </c>
      <c r="K82" s="6">
        <f>UnitsTable[[#This Row],[Licensed Psychiatric Technician]]*CodeRatesTable[[#This Row],[Licensed Psychiatric Technician]]</f>
        <v>0</v>
      </c>
      <c r="L82" s="6">
        <f>UnitsTable[[#This Row],[Psychologist/Pre-licensed Psychologist]]*CodeRatesTable[[#This Row],[Psychologist/Pre-licensed Psychologist]]</f>
        <v>0</v>
      </c>
      <c r="M82" s="6">
        <f>UnitsTable[[#This Row],[LPHA (MFT  LCSW  LPCC)/ Intern or Waivered LPHA (MFT  LCSW  LPCC)]]*CodeRatesTable[[#This Row],[LPHA (MFT  LCSW  LPCC)/ Intern or Waivered LPHA (MFT  LCSW  LPCC)]]</f>
        <v>0</v>
      </c>
      <c r="N82" s="6">
        <f>UnitsTable[[#This Row],[Occupational Therapist]]*CodeRatesTable[[#This Row],[Occupational Therapist]]</f>
        <v>0</v>
      </c>
      <c r="O82" s="6">
        <f>UnitsTable[[#This Row],[Mental Health Rehab Specialist]]*CodeRatesTable[[#This Row],[Mental Health Rehab Specialist]]</f>
        <v>0</v>
      </c>
      <c r="P82" s="6">
        <f>UnitsTable[[#This Row],[Peer Recovery Specialist]]*CodeRatesTable[[#This Row],[Peer Recovery Specialist]]</f>
        <v>0</v>
      </c>
      <c r="Q82" s="6">
        <f>UnitsTable[[#This Row],[Other Qualified Providers - Other Designated MH staff that bill medical]]*CodeRatesTable[[#This Row],[Other Qualified Providers - Other Designated MH staff that bill medical]]</f>
        <v>0</v>
      </c>
      <c r="R82" s="6">
        <f>SUM(RevenueTable[[#This Row],[Psychiatrist/ Contracted Psychiatrist]:[Other Qualified Providers - Other Designated MH staff that bill medical]])</f>
        <v>0</v>
      </c>
    </row>
    <row r="83" spans="1:18" hidden="1" x14ac:dyDescent="0.25">
      <c r="A83" s="6" t="str">
        <f>INDEX(CodeMinutesTable[Frequently Used],MATCH(RevenueTable[[#This Row],[Billing Code]],CodeMinutesTable[Code],0))</f>
        <v>No</v>
      </c>
      <c r="B83" s="3" t="s">
        <v>200</v>
      </c>
      <c r="C83" t="s">
        <v>201</v>
      </c>
      <c r="D83" s="6">
        <f>UnitsTable[[#This Row],[Psychiatrist/ Contracted Psychiatrist]]*CodeRatesTable[[#This Row],[Psychiatrist/ Contracted Psychiatrist]]</f>
        <v>0</v>
      </c>
      <c r="E83" s="6">
        <f>UnitsTable[[#This Row],[Physicians Assistant]]*CodeRatesTable[[#This Row],[Physicians Assistant]]</f>
        <v>0</v>
      </c>
      <c r="F83" s="6">
        <f>UnitsTable[[#This Row],[Nurse Practitioner]]*CodeRatesTable[[#This Row],[Nurse Practitioner]]</f>
        <v>0</v>
      </c>
      <c r="G83" s="6">
        <f>UnitsTable[[#This Row],[RN]]*CodeRatesTable[[#This Row],[RN]]</f>
        <v>0</v>
      </c>
      <c r="H83" s="6">
        <f>UnitsTable[[#This Row],[Certified Nurse Specialist]]*CodeRatesTable[[#This Row],[Certified Nurse Specialist]]</f>
        <v>0</v>
      </c>
      <c r="I83" s="6">
        <f>UnitsTable[[#This Row],[LVN]]*CodeRatesTable[[#This Row],[LVN]]</f>
        <v>0</v>
      </c>
      <c r="J83" s="6">
        <f>UnitsTable[[#This Row],[Pharmacist]]*CodeRatesTable[[#This Row],[Pharmacist]]</f>
        <v>0</v>
      </c>
      <c r="K83" s="6">
        <f>UnitsTable[[#This Row],[Licensed Psychiatric Technician]]*CodeRatesTable[[#This Row],[Licensed Psychiatric Technician]]</f>
        <v>0</v>
      </c>
      <c r="L83" s="6">
        <f>UnitsTable[[#This Row],[Psychologist/Pre-licensed Psychologist]]*CodeRatesTable[[#This Row],[Psychologist/Pre-licensed Psychologist]]</f>
        <v>0</v>
      </c>
      <c r="M83" s="6">
        <f>UnitsTable[[#This Row],[LPHA (MFT  LCSW  LPCC)/ Intern or Waivered LPHA (MFT  LCSW  LPCC)]]*CodeRatesTable[[#This Row],[LPHA (MFT  LCSW  LPCC)/ Intern or Waivered LPHA (MFT  LCSW  LPCC)]]</f>
        <v>0</v>
      </c>
      <c r="N83" s="6">
        <f>UnitsTable[[#This Row],[Occupational Therapist]]*CodeRatesTable[[#This Row],[Occupational Therapist]]</f>
        <v>0</v>
      </c>
      <c r="O83" s="6">
        <f>UnitsTable[[#This Row],[Mental Health Rehab Specialist]]*CodeRatesTable[[#This Row],[Mental Health Rehab Specialist]]</f>
        <v>0</v>
      </c>
      <c r="P83" s="6">
        <f>UnitsTable[[#This Row],[Peer Recovery Specialist]]*CodeRatesTable[[#This Row],[Peer Recovery Specialist]]</f>
        <v>0</v>
      </c>
      <c r="Q83" s="6">
        <f>UnitsTable[[#This Row],[Other Qualified Providers - Other Designated MH staff that bill medical]]*CodeRatesTable[[#This Row],[Other Qualified Providers - Other Designated MH staff that bill medical]]</f>
        <v>0</v>
      </c>
      <c r="R83" s="6">
        <f>SUM(RevenueTable[[#This Row],[Psychiatrist/ Contracted Psychiatrist]:[Other Qualified Providers - Other Designated MH staff that bill medical]])</f>
        <v>0</v>
      </c>
    </row>
    <row r="84" spans="1:18" hidden="1" x14ac:dyDescent="0.25">
      <c r="A84" s="6" t="str">
        <f>INDEX(CodeMinutesTable[Frequently Used],MATCH(RevenueTable[[#This Row],[Billing Code]],CodeMinutesTable[Code],0))</f>
        <v>No</v>
      </c>
      <c r="B84" s="3" t="s">
        <v>202</v>
      </c>
      <c r="C84" t="s">
        <v>203</v>
      </c>
      <c r="D84" s="6">
        <f>UnitsTable[[#This Row],[Psychiatrist/ Contracted Psychiatrist]]*CodeRatesTable[[#This Row],[Psychiatrist/ Contracted Psychiatrist]]</f>
        <v>0</v>
      </c>
      <c r="E84" s="6">
        <f>UnitsTable[[#This Row],[Physicians Assistant]]*CodeRatesTable[[#This Row],[Physicians Assistant]]</f>
        <v>0</v>
      </c>
      <c r="F84" s="6">
        <f>UnitsTable[[#This Row],[Nurse Practitioner]]*CodeRatesTable[[#This Row],[Nurse Practitioner]]</f>
        <v>0</v>
      </c>
      <c r="G84" s="6">
        <f>UnitsTable[[#This Row],[RN]]*CodeRatesTable[[#This Row],[RN]]</f>
        <v>0</v>
      </c>
      <c r="H84" s="6">
        <f>UnitsTable[[#This Row],[Certified Nurse Specialist]]*CodeRatesTable[[#This Row],[Certified Nurse Specialist]]</f>
        <v>0</v>
      </c>
      <c r="I84" s="6">
        <f>UnitsTable[[#This Row],[LVN]]*CodeRatesTable[[#This Row],[LVN]]</f>
        <v>0</v>
      </c>
      <c r="J84" s="6">
        <f>UnitsTable[[#This Row],[Pharmacist]]*CodeRatesTable[[#This Row],[Pharmacist]]</f>
        <v>0</v>
      </c>
      <c r="K84" s="6">
        <f>UnitsTable[[#This Row],[Licensed Psychiatric Technician]]*CodeRatesTable[[#This Row],[Licensed Psychiatric Technician]]</f>
        <v>0</v>
      </c>
      <c r="L84" s="6">
        <f>UnitsTable[[#This Row],[Psychologist/Pre-licensed Psychologist]]*CodeRatesTable[[#This Row],[Psychologist/Pre-licensed Psychologist]]</f>
        <v>0</v>
      </c>
      <c r="M84" s="6">
        <f>UnitsTable[[#This Row],[LPHA (MFT  LCSW  LPCC)/ Intern or Waivered LPHA (MFT  LCSW  LPCC)]]*CodeRatesTable[[#This Row],[LPHA (MFT  LCSW  LPCC)/ Intern or Waivered LPHA (MFT  LCSW  LPCC)]]</f>
        <v>0</v>
      </c>
      <c r="N84" s="6">
        <f>UnitsTable[[#This Row],[Occupational Therapist]]*CodeRatesTable[[#This Row],[Occupational Therapist]]</f>
        <v>0</v>
      </c>
      <c r="O84" s="6">
        <f>UnitsTable[[#This Row],[Mental Health Rehab Specialist]]*CodeRatesTable[[#This Row],[Mental Health Rehab Specialist]]</f>
        <v>0</v>
      </c>
      <c r="P84" s="6">
        <f>UnitsTable[[#This Row],[Peer Recovery Specialist]]*CodeRatesTable[[#This Row],[Peer Recovery Specialist]]</f>
        <v>0</v>
      </c>
      <c r="Q84" s="6">
        <f>UnitsTable[[#This Row],[Other Qualified Providers - Other Designated MH staff that bill medical]]*CodeRatesTable[[#This Row],[Other Qualified Providers - Other Designated MH staff that bill medical]]</f>
        <v>0</v>
      </c>
      <c r="R84" s="6">
        <f>SUM(RevenueTable[[#This Row],[Psychiatrist/ Contracted Psychiatrist]:[Other Qualified Providers - Other Designated MH staff that bill medical]])</f>
        <v>0</v>
      </c>
    </row>
    <row r="85" spans="1:18" hidden="1" x14ac:dyDescent="0.25">
      <c r="A85" s="6" t="str">
        <f>INDEX(CodeMinutesTable[Frequently Used],MATCH(RevenueTable[[#This Row],[Billing Code]],CodeMinutesTable[Code],0))</f>
        <v>No</v>
      </c>
      <c r="B85" s="3" t="s">
        <v>204</v>
      </c>
      <c r="C85" t="s">
        <v>205</v>
      </c>
      <c r="D85" s="6">
        <f>UnitsTable[[#This Row],[Psychiatrist/ Contracted Psychiatrist]]*CodeRatesTable[[#This Row],[Psychiatrist/ Contracted Psychiatrist]]</f>
        <v>0</v>
      </c>
      <c r="E85" s="6">
        <f>UnitsTable[[#This Row],[Physicians Assistant]]*CodeRatesTable[[#This Row],[Physicians Assistant]]</f>
        <v>0</v>
      </c>
      <c r="F85" s="6">
        <f>UnitsTable[[#This Row],[Nurse Practitioner]]*CodeRatesTable[[#This Row],[Nurse Practitioner]]</f>
        <v>0</v>
      </c>
      <c r="G85" s="6">
        <f>UnitsTable[[#This Row],[RN]]*CodeRatesTable[[#This Row],[RN]]</f>
        <v>0</v>
      </c>
      <c r="H85" s="6">
        <f>UnitsTable[[#This Row],[Certified Nurse Specialist]]*CodeRatesTable[[#This Row],[Certified Nurse Specialist]]</f>
        <v>0</v>
      </c>
      <c r="I85" s="6">
        <f>UnitsTable[[#This Row],[LVN]]*CodeRatesTable[[#This Row],[LVN]]</f>
        <v>0</v>
      </c>
      <c r="J85" s="6">
        <f>UnitsTable[[#This Row],[Pharmacist]]*CodeRatesTable[[#This Row],[Pharmacist]]</f>
        <v>0</v>
      </c>
      <c r="K85" s="6">
        <f>UnitsTable[[#This Row],[Licensed Psychiatric Technician]]*CodeRatesTable[[#This Row],[Licensed Psychiatric Technician]]</f>
        <v>0</v>
      </c>
      <c r="L85" s="6">
        <f>UnitsTable[[#This Row],[Psychologist/Pre-licensed Psychologist]]*CodeRatesTable[[#This Row],[Psychologist/Pre-licensed Psychologist]]</f>
        <v>0</v>
      </c>
      <c r="M85" s="6">
        <f>UnitsTable[[#This Row],[LPHA (MFT  LCSW  LPCC)/ Intern or Waivered LPHA (MFT  LCSW  LPCC)]]*CodeRatesTable[[#This Row],[LPHA (MFT  LCSW  LPCC)/ Intern or Waivered LPHA (MFT  LCSW  LPCC)]]</f>
        <v>0</v>
      </c>
      <c r="N85" s="6">
        <f>UnitsTable[[#This Row],[Occupational Therapist]]*CodeRatesTable[[#This Row],[Occupational Therapist]]</f>
        <v>0</v>
      </c>
      <c r="O85" s="6">
        <f>UnitsTable[[#This Row],[Mental Health Rehab Specialist]]*CodeRatesTable[[#This Row],[Mental Health Rehab Specialist]]</f>
        <v>0</v>
      </c>
      <c r="P85" s="6">
        <f>UnitsTable[[#This Row],[Peer Recovery Specialist]]*CodeRatesTable[[#This Row],[Peer Recovery Specialist]]</f>
        <v>0</v>
      </c>
      <c r="Q85" s="6">
        <f>UnitsTable[[#This Row],[Other Qualified Providers - Other Designated MH staff that bill medical]]*CodeRatesTable[[#This Row],[Other Qualified Providers - Other Designated MH staff that bill medical]]</f>
        <v>0</v>
      </c>
      <c r="R85" s="6">
        <f>SUM(RevenueTable[[#This Row],[Psychiatrist/ Contracted Psychiatrist]:[Other Qualified Providers - Other Designated MH staff that bill medical]])</f>
        <v>0</v>
      </c>
    </row>
    <row r="86" spans="1:18" hidden="1" x14ac:dyDescent="0.25">
      <c r="A86" s="6" t="str">
        <f>INDEX(CodeMinutesTable[Frequently Used],MATCH(RevenueTable[[#This Row],[Billing Code]],CodeMinutesTable[Code],0))</f>
        <v>No</v>
      </c>
      <c r="B86" s="3" t="s">
        <v>206</v>
      </c>
      <c r="C86" t="s">
        <v>207</v>
      </c>
      <c r="D86" s="6">
        <f>UnitsTable[[#This Row],[Psychiatrist/ Contracted Psychiatrist]]*CodeRatesTable[[#This Row],[Psychiatrist/ Contracted Psychiatrist]]</f>
        <v>0</v>
      </c>
      <c r="E86" s="6">
        <f>UnitsTable[[#This Row],[Physicians Assistant]]*CodeRatesTable[[#This Row],[Physicians Assistant]]</f>
        <v>0</v>
      </c>
      <c r="F86" s="6">
        <f>UnitsTable[[#This Row],[Nurse Practitioner]]*CodeRatesTable[[#This Row],[Nurse Practitioner]]</f>
        <v>0</v>
      </c>
      <c r="G86" s="6">
        <f>UnitsTable[[#This Row],[RN]]*CodeRatesTable[[#This Row],[RN]]</f>
        <v>0</v>
      </c>
      <c r="H86" s="6">
        <f>UnitsTable[[#This Row],[Certified Nurse Specialist]]*CodeRatesTable[[#This Row],[Certified Nurse Specialist]]</f>
        <v>0</v>
      </c>
      <c r="I86" s="6">
        <f>UnitsTable[[#This Row],[LVN]]*CodeRatesTable[[#This Row],[LVN]]</f>
        <v>0</v>
      </c>
      <c r="J86" s="6">
        <f>UnitsTable[[#This Row],[Pharmacist]]*CodeRatesTable[[#This Row],[Pharmacist]]</f>
        <v>0</v>
      </c>
      <c r="K86" s="6">
        <f>UnitsTable[[#This Row],[Licensed Psychiatric Technician]]*CodeRatesTable[[#This Row],[Licensed Psychiatric Technician]]</f>
        <v>0</v>
      </c>
      <c r="L86" s="6">
        <f>UnitsTable[[#This Row],[Psychologist/Pre-licensed Psychologist]]*CodeRatesTable[[#This Row],[Psychologist/Pre-licensed Psychologist]]</f>
        <v>0</v>
      </c>
      <c r="M86" s="6">
        <f>UnitsTable[[#This Row],[LPHA (MFT  LCSW  LPCC)/ Intern or Waivered LPHA (MFT  LCSW  LPCC)]]*CodeRatesTable[[#This Row],[LPHA (MFT  LCSW  LPCC)/ Intern or Waivered LPHA (MFT  LCSW  LPCC)]]</f>
        <v>0</v>
      </c>
      <c r="N86" s="6">
        <f>UnitsTable[[#This Row],[Occupational Therapist]]*CodeRatesTable[[#This Row],[Occupational Therapist]]</f>
        <v>0</v>
      </c>
      <c r="O86" s="6">
        <f>UnitsTable[[#This Row],[Mental Health Rehab Specialist]]*CodeRatesTable[[#This Row],[Mental Health Rehab Specialist]]</f>
        <v>0</v>
      </c>
      <c r="P86" s="6">
        <f>UnitsTable[[#This Row],[Peer Recovery Specialist]]*CodeRatesTable[[#This Row],[Peer Recovery Specialist]]</f>
        <v>0</v>
      </c>
      <c r="Q86" s="6">
        <f>UnitsTable[[#This Row],[Other Qualified Providers - Other Designated MH staff that bill medical]]*CodeRatesTable[[#This Row],[Other Qualified Providers - Other Designated MH staff that bill medical]]</f>
        <v>0</v>
      </c>
      <c r="R86" s="6">
        <f>SUM(RevenueTable[[#This Row],[Psychiatrist/ Contracted Psychiatrist]:[Other Qualified Providers - Other Designated MH staff that bill medical]])</f>
        <v>0</v>
      </c>
    </row>
    <row r="87" spans="1:18" hidden="1" x14ac:dyDescent="0.25">
      <c r="A87" s="6" t="str">
        <f>INDEX(CodeMinutesTable[Frequently Used],MATCH(RevenueTable[[#This Row],[Billing Code]],CodeMinutesTable[Code],0))</f>
        <v>No</v>
      </c>
      <c r="B87" s="3" t="s">
        <v>208</v>
      </c>
      <c r="C87" t="s">
        <v>209</v>
      </c>
      <c r="D87" s="6">
        <f>UnitsTable[[#This Row],[Psychiatrist/ Contracted Psychiatrist]]*CodeRatesTable[[#This Row],[Psychiatrist/ Contracted Psychiatrist]]</f>
        <v>0</v>
      </c>
      <c r="E87" s="6">
        <f>UnitsTable[[#This Row],[Physicians Assistant]]*CodeRatesTable[[#This Row],[Physicians Assistant]]</f>
        <v>0</v>
      </c>
      <c r="F87" s="6">
        <f>UnitsTable[[#This Row],[Nurse Practitioner]]*CodeRatesTable[[#This Row],[Nurse Practitioner]]</f>
        <v>0</v>
      </c>
      <c r="G87" s="6">
        <f>UnitsTable[[#This Row],[RN]]*CodeRatesTable[[#This Row],[RN]]</f>
        <v>0</v>
      </c>
      <c r="H87" s="6">
        <f>UnitsTable[[#This Row],[Certified Nurse Specialist]]*CodeRatesTable[[#This Row],[Certified Nurse Specialist]]</f>
        <v>0</v>
      </c>
      <c r="I87" s="6">
        <f>UnitsTable[[#This Row],[LVN]]*CodeRatesTable[[#This Row],[LVN]]</f>
        <v>0</v>
      </c>
      <c r="J87" s="6">
        <f>UnitsTable[[#This Row],[Pharmacist]]*CodeRatesTable[[#This Row],[Pharmacist]]</f>
        <v>0</v>
      </c>
      <c r="K87" s="6">
        <f>UnitsTable[[#This Row],[Licensed Psychiatric Technician]]*CodeRatesTable[[#This Row],[Licensed Psychiatric Technician]]</f>
        <v>0</v>
      </c>
      <c r="L87" s="6">
        <f>UnitsTable[[#This Row],[Psychologist/Pre-licensed Psychologist]]*CodeRatesTable[[#This Row],[Psychologist/Pre-licensed Psychologist]]</f>
        <v>0</v>
      </c>
      <c r="M87" s="6">
        <f>UnitsTable[[#This Row],[LPHA (MFT  LCSW  LPCC)/ Intern or Waivered LPHA (MFT  LCSW  LPCC)]]*CodeRatesTable[[#This Row],[LPHA (MFT  LCSW  LPCC)/ Intern or Waivered LPHA (MFT  LCSW  LPCC)]]</f>
        <v>0</v>
      </c>
      <c r="N87" s="6">
        <f>UnitsTable[[#This Row],[Occupational Therapist]]*CodeRatesTable[[#This Row],[Occupational Therapist]]</f>
        <v>0</v>
      </c>
      <c r="O87" s="6">
        <f>UnitsTable[[#This Row],[Mental Health Rehab Specialist]]*CodeRatesTable[[#This Row],[Mental Health Rehab Specialist]]</f>
        <v>0</v>
      </c>
      <c r="P87" s="6">
        <f>UnitsTable[[#This Row],[Peer Recovery Specialist]]*CodeRatesTable[[#This Row],[Peer Recovery Specialist]]</f>
        <v>0</v>
      </c>
      <c r="Q87" s="6">
        <f>UnitsTable[[#This Row],[Other Qualified Providers - Other Designated MH staff that bill medical]]*CodeRatesTable[[#This Row],[Other Qualified Providers - Other Designated MH staff that bill medical]]</f>
        <v>0</v>
      </c>
      <c r="R87" s="6">
        <f>SUM(RevenueTable[[#This Row],[Psychiatrist/ Contracted Psychiatrist]:[Other Qualified Providers - Other Designated MH staff that bill medical]])</f>
        <v>0</v>
      </c>
    </row>
    <row r="88" spans="1:18" hidden="1" x14ac:dyDescent="0.25">
      <c r="A88" s="6" t="str">
        <f>INDEX(CodeMinutesTable[Frequently Used],MATCH(RevenueTable[[#This Row],[Billing Code]],CodeMinutesTable[Code],0))</f>
        <v>No</v>
      </c>
      <c r="B88" s="3" t="s">
        <v>210</v>
      </c>
      <c r="C88" t="s">
        <v>211</v>
      </c>
      <c r="D88" s="6">
        <f>UnitsTable[[#This Row],[Psychiatrist/ Contracted Psychiatrist]]*CodeRatesTable[[#This Row],[Psychiatrist/ Contracted Psychiatrist]]</f>
        <v>0</v>
      </c>
      <c r="E88" s="6">
        <f>UnitsTable[[#This Row],[Physicians Assistant]]*CodeRatesTable[[#This Row],[Physicians Assistant]]</f>
        <v>0</v>
      </c>
      <c r="F88" s="6">
        <f>UnitsTable[[#This Row],[Nurse Practitioner]]*CodeRatesTable[[#This Row],[Nurse Practitioner]]</f>
        <v>0</v>
      </c>
      <c r="G88" s="6">
        <f>UnitsTable[[#This Row],[RN]]*CodeRatesTable[[#This Row],[RN]]</f>
        <v>0</v>
      </c>
      <c r="H88" s="6">
        <f>UnitsTable[[#This Row],[Certified Nurse Specialist]]*CodeRatesTable[[#This Row],[Certified Nurse Specialist]]</f>
        <v>0</v>
      </c>
      <c r="I88" s="6">
        <f>UnitsTable[[#This Row],[LVN]]*CodeRatesTable[[#This Row],[LVN]]</f>
        <v>0</v>
      </c>
      <c r="J88" s="6">
        <f>UnitsTable[[#This Row],[Pharmacist]]*CodeRatesTable[[#This Row],[Pharmacist]]</f>
        <v>0</v>
      </c>
      <c r="K88" s="6">
        <f>UnitsTable[[#This Row],[Licensed Psychiatric Technician]]*CodeRatesTable[[#This Row],[Licensed Psychiatric Technician]]</f>
        <v>0</v>
      </c>
      <c r="L88" s="6">
        <f>UnitsTable[[#This Row],[Psychologist/Pre-licensed Psychologist]]*CodeRatesTable[[#This Row],[Psychologist/Pre-licensed Psychologist]]</f>
        <v>0</v>
      </c>
      <c r="M88" s="6">
        <f>UnitsTable[[#This Row],[LPHA (MFT  LCSW  LPCC)/ Intern or Waivered LPHA (MFT  LCSW  LPCC)]]*CodeRatesTable[[#This Row],[LPHA (MFT  LCSW  LPCC)/ Intern or Waivered LPHA (MFT  LCSW  LPCC)]]</f>
        <v>0</v>
      </c>
      <c r="N88" s="6">
        <f>UnitsTable[[#This Row],[Occupational Therapist]]*CodeRatesTable[[#This Row],[Occupational Therapist]]</f>
        <v>0</v>
      </c>
      <c r="O88" s="6">
        <f>UnitsTable[[#This Row],[Mental Health Rehab Specialist]]*CodeRatesTable[[#This Row],[Mental Health Rehab Specialist]]</f>
        <v>0</v>
      </c>
      <c r="P88" s="6">
        <f>UnitsTable[[#This Row],[Peer Recovery Specialist]]*CodeRatesTable[[#This Row],[Peer Recovery Specialist]]</f>
        <v>0</v>
      </c>
      <c r="Q88" s="6">
        <f>UnitsTable[[#This Row],[Other Qualified Providers - Other Designated MH staff that bill medical]]*CodeRatesTable[[#This Row],[Other Qualified Providers - Other Designated MH staff that bill medical]]</f>
        <v>0</v>
      </c>
      <c r="R88" s="6">
        <f>SUM(RevenueTable[[#This Row],[Psychiatrist/ Contracted Psychiatrist]:[Other Qualified Providers - Other Designated MH staff that bill medical]])</f>
        <v>0</v>
      </c>
    </row>
    <row r="89" spans="1:18" hidden="1" x14ac:dyDescent="0.25">
      <c r="A89" s="6" t="str">
        <f>INDEX(CodeMinutesTable[Frequently Used],MATCH(RevenueTable[[#This Row],[Billing Code]],CodeMinutesTable[Code],0))</f>
        <v>No</v>
      </c>
      <c r="B89" s="3" t="s">
        <v>212</v>
      </c>
      <c r="C89" t="s">
        <v>213</v>
      </c>
      <c r="D89" s="6">
        <f>UnitsTable[[#This Row],[Psychiatrist/ Contracted Psychiatrist]]*CodeRatesTable[[#This Row],[Psychiatrist/ Contracted Psychiatrist]]</f>
        <v>0</v>
      </c>
      <c r="E89" s="6">
        <f>UnitsTable[[#This Row],[Physicians Assistant]]*CodeRatesTable[[#This Row],[Physicians Assistant]]</f>
        <v>0</v>
      </c>
      <c r="F89" s="6">
        <f>UnitsTable[[#This Row],[Nurse Practitioner]]*CodeRatesTable[[#This Row],[Nurse Practitioner]]</f>
        <v>0</v>
      </c>
      <c r="G89" s="6">
        <f>UnitsTable[[#This Row],[RN]]*CodeRatesTable[[#This Row],[RN]]</f>
        <v>0</v>
      </c>
      <c r="H89" s="6">
        <f>UnitsTable[[#This Row],[Certified Nurse Specialist]]*CodeRatesTable[[#This Row],[Certified Nurse Specialist]]</f>
        <v>0</v>
      </c>
      <c r="I89" s="6">
        <f>UnitsTable[[#This Row],[LVN]]*CodeRatesTable[[#This Row],[LVN]]</f>
        <v>0</v>
      </c>
      <c r="J89" s="6">
        <f>UnitsTable[[#This Row],[Pharmacist]]*CodeRatesTable[[#This Row],[Pharmacist]]</f>
        <v>0</v>
      </c>
      <c r="K89" s="6">
        <f>UnitsTable[[#This Row],[Licensed Psychiatric Technician]]*CodeRatesTable[[#This Row],[Licensed Psychiatric Technician]]</f>
        <v>0</v>
      </c>
      <c r="L89" s="6">
        <f>UnitsTable[[#This Row],[Psychologist/Pre-licensed Psychologist]]*CodeRatesTable[[#This Row],[Psychologist/Pre-licensed Psychologist]]</f>
        <v>0</v>
      </c>
      <c r="M89" s="6">
        <f>UnitsTable[[#This Row],[LPHA (MFT  LCSW  LPCC)/ Intern or Waivered LPHA (MFT  LCSW  LPCC)]]*CodeRatesTable[[#This Row],[LPHA (MFT  LCSW  LPCC)/ Intern or Waivered LPHA (MFT  LCSW  LPCC)]]</f>
        <v>0</v>
      </c>
      <c r="N89" s="6">
        <f>UnitsTable[[#This Row],[Occupational Therapist]]*CodeRatesTable[[#This Row],[Occupational Therapist]]</f>
        <v>0</v>
      </c>
      <c r="O89" s="6">
        <f>UnitsTable[[#This Row],[Mental Health Rehab Specialist]]*CodeRatesTable[[#This Row],[Mental Health Rehab Specialist]]</f>
        <v>0</v>
      </c>
      <c r="P89" s="6">
        <f>UnitsTable[[#This Row],[Peer Recovery Specialist]]*CodeRatesTable[[#This Row],[Peer Recovery Specialist]]</f>
        <v>0</v>
      </c>
      <c r="Q89" s="6">
        <f>UnitsTable[[#This Row],[Other Qualified Providers - Other Designated MH staff that bill medical]]*CodeRatesTable[[#This Row],[Other Qualified Providers - Other Designated MH staff that bill medical]]</f>
        <v>0</v>
      </c>
      <c r="R89" s="6">
        <f>SUM(RevenueTable[[#This Row],[Psychiatrist/ Contracted Psychiatrist]:[Other Qualified Providers - Other Designated MH staff that bill medical]])</f>
        <v>0</v>
      </c>
    </row>
    <row r="90" spans="1:18" hidden="1" x14ac:dyDescent="0.25">
      <c r="A90" s="6" t="str">
        <f>INDEX(CodeMinutesTable[Frequently Used],MATCH(RevenueTable[[#This Row],[Billing Code]],CodeMinutesTable[Code],0))</f>
        <v>No</v>
      </c>
      <c r="B90" s="3" t="s">
        <v>214</v>
      </c>
      <c r="C90" t="s">
        <v>215</v>
      </c>
      <c r="D90" s="6">
        <f>UnitsTable[[#This Row],[Psychiatrist/ Contracted Psychiatrist]]*CodeRatesTable[[#This Row],[Psychiatrist/ Contracted Psychiatrist]]</f>
        <v>0</v>
      </c>
      <c r="E90" s="6">
        <f>UnitsTable[[#This Row],[Physicians Assistant]]*CodeRatesTable[[#This Row],[Physicians Assistant]]</f>
        <v>0</v>
      </c>
      <c r="F90" s="6">
        <f>UnitsTable[[#This Row],[Nurse Practitioner]]*CodeRatesTable[[#This Row],[Nurse Practitioner]]</f>
        <v>0</v>
      </c>
      <c r="G90" s="6">
        <f>UnitsTable[[#This Row],[RN]]*CodeRatesTable[[#This Row],[RN]]</f>
        <v>0</v>
      </c>
      <c r="H90" s="6">
        <f>UnitsTable[[#This Row],[Certified Nurse Specialist]]*CodeRatesTable[[#This Row],[Certified Nurse Specialist]]</f>
        <v>0</v>
      </c>
      <c r="I90" s="6">
        <f>UnitsTable[[#This Row],[LVN]]*CodeRatesTable[[#This Row],[LVN]]</f>
        <v>0</v>
      </c>
      <c r="J90" s="6">
        <f>UnitsTable[[#This Row],[Pharmacist]]*CodeRatesTable[[#This Row],[Pharmacist]]</f>
        <v>0</v>
      </c>
      <c r="K90" s="6">
        <f>UnitsTable[[#This Row],[Licensed Psychiatric Technician]]*CodeRatesTable[[#This Row],[Licensed Psychiatric Technician]]</f>
        <v>0</v>
      </c>
      <c r="L90" s="6">
        <f>UnitsTable[[#This Row],[Psychologist/Pre-licensed Psychologist]]*CodeRatesTable[[#This Row],[Psychologist/Pre-licensed Psychologist]]</f>
        <v>0</v>
      </c>
      <c r="M90" s="6">
        <f>UnitsTable[[#This Row],[LPHA (MFT  LCSW  LPCC)/ Intern or Waivered LPHA (MFT  LCSW  LPCC)]]*CodeRatesTable[[#This Row],[LPHA (MFT  LCSW  LPCC)/ Intern or Waivered LPHA (MFT  LCSW  LPCC)]]</f>
        <v>0</v>
      </c>
      <c r="N90" s="6">
        <f>UnitsTable[[#This Row],[Occupational Therapist]]*CodeRatesTable[[#This Row],[Occupational Therapist]]</f>
        <v>0</v>
      </c>
      <c r="O90" s="6">
        <f>UnitsTable[[#This Row],[Mental Health Rehab Specialist]]*CodeRatesTable[[#This Row],[Mental Health Rehab Specialist]]</f>
        <v>0</v>
      </c>
      <c r="P90" s="6">
        <f>UnitsTable[[#This Row],[Peer Recovery Specialist]]*CodeRatesTable[[#This Row],[Peer Recovery Specialist]]</f>
        <v>0</v>
      </c>
      <c r="Q90" s="6">
        <f>UnitsTable[[#This Row],[Other Qualified Providers - Other Designated MH staff that bill medical]]*CodeRatesTable[[#This Row],[Other Qualified Providers - Other Designated MH staff that bill medical]]</f>
        <v>0</v>
      </c>
      <c r="R90" s="6">
        <f>SUM(RevenueTable[[#This Row],[Psychiatrist/ Contracted Psychiatrist]:[Other Qualified Providers - Other Designated MH staff that bill medical]])</f>
        <v>0</v>
      </c>
    </row>
    <row r="91" spans="1:18" hidden="1" x14ac:dyDescent="0.25">
      <c r="A91" s="6" t="str">
        <f>INDEX(CodeMinutesTable[Frequently Used],MATCH(RevenueTable[[#This Row],[Billing Code]],CodeMinutesTable[Code],0))</f>
        <v>No</v>
      </c>
      <c r="B91" s="3" t="s">
        <v>216</v>
      </c>
      <c r="C91" t="s">
        <v>217</v>
      </c>
      <c r="D91" s="6">
        <f>UnitsTable[[#This Row],[Psychiatrist/ Contracted Psychiatrist]]*CodeRatesTable[[#This Row],[Psychiatrist/ Contracted Psychiatrist]]</f>
        <v>0</v>
      </c>
      <c r="E91" s="6">
        <f>UnitsTable[[#This Row],[Physicians Assistant]]*CodeRatesTable[[#This Row],[Physicians Assistant]]</f>
        <v>0</v>
      </c>
      <c r="F91" s="6">
        <f>UnitsTable[[#This Row],[Nurse Practitioner]]*CodeRatesTable[[#This Row],[Nurse Practitioner]]</f>
        <v>0</v>
      </c>
      <c r="G91" s="6">
        <f>UnitsTable[[#This Row],[RN]]*CodeRatesTable[[#This Row],[RN]]</f>
        <v>0</v>
      </c>
      <c r="H91" s="6">
        <f>UnitsTable[[#This Row],[Certified Nurse Specialist]]*CodeRatesTable[[#This Row],[Certified Nurse Specialist]]</f>
        <v>0</v>
      </c>
      <c r="I91" s="6">
        <f>UnitsTable[[#This Row],[LVN]]*CodeRatesTable[[#This Row],[LVN]]</f>
        <v>0</v>
      </c>
      <c r="J91" s="6">
        <f>UnitsTable[[#This Row],[Pharmacist]]*CodeRatesTable[[#This Row],[Pharmacist]]</f>
        <v>0</v>
      </c>
      <c r="K91" s="6">
        <f>UnitsTable[[#This Row],[Licensed Psychiatric Technician]]*CodeRatesTable[[#This Row],[Licensed Psychiatric Technician]]</f>
        <v>0</v>
      </c>
      <c r="L91" s="6">
        <f>UnitsTable[[#This Row],[Psychologist/Pre-licensed Psychologist]]*CodeRatesTable[[#This Row],[Psychologist/Pre-licensed Psychologist]]</f>
        <v>0</v>
      </c>
      <c r="M91" s="6">
        <f>UnitsTable[[#This Row],[LPHA (MFT  LCSW  LPCC)/ Intern or Waivered LPHA (MFT  LCSW  LPCC)]]*CodeRatesTable[[#This Row],[LPHA (MFT  LCSW  LPCC)/ Intern or Waivered LPHA (MFT  LCSW  LPCC)]]</f>
        <v>0</v>
      </c>
      <c r="N91" s="6">
        <f>UnitsTable[[#This Row],[Occupational Therapist]]*CodeRatesTable[[#This Row],[Occupational Therapist]]</f>
        <v>0</v>
      </c>
      <c r="O91" s="6">
        <f>UnitsTable[[#This Row],[Mental Health Rehab Specialist]]*CodeRatesTable[[#This Row],[Mental Health Rehab Specialist]]</f>
        <v>0</v>
      </c>
      <c r="P91" s="6">
        <f>UnitsTable[[#This Row],[Peer Recovery Specialist]]*CodeRatesTable[[#This Row],[Peer Recovery Specialist]]</f>
        <v>0</v>
      </c>
      <c r="Q91" s="6">
        <f>UnitsTable[[#This Row],[Other Qualified Providers - Other Designated MH staff that bill medical]]*CodeRatesTable[[#This Row],[Other Qualified Providers - Other Designated MH staff that bill medical]]</f>
        <v>0</v>
      </c>
      <c r="R91" s="6">
        <f>SUM(RevenueTable[[#This Row],[Psychiatrist/ Contracted Psychiatrist]:[Other Qualified Providers - Other Designated MH staff that bill medical]])</f>
        <v>0</v>
      </c>
    </row>
    <row r="92" spans="1:18" hidden="1" x14ac:dyDescent="0.25">
      <c r="A92" s="6" t="str">
        <f>INDEX(CodeMinutesTable[Frequently Used],MATCH(RevenueTable[[#This Row],[Billing Code]],CodeMinutesTable[Code],0))</f>
        <v>No</v>
      </c>
      <c r="B92" s="3" t="s">
        <v>218</v>
      </c>
      <c r="C92" t="s">
        <v>219</v>
      </c>
      <c r="D92" s="6">
        <f>UnitsTable[[#This Row],[Psychiatrist/ Contracted Psychiatrist]]*CodeRatesTable[[#This Row],[Psychiatrist/ Contracted Psychiatrist]]</f>
        <v>0</v>
      </c>
      <c r="E92" s="6">
        <f>UnitsTable[[#This Row],[Physicians Assistant]]*CodeRatesTable[[#This Row],[Physicians Assistant]]</f>
        <v>0</v>
      </c>
      <c r="F92" s="6">
        <f>UnitsTable[[#This Row],[Nurse Practitioner]]*CodeRatesTable[[#This Row],[Nurse Practitioner]]</f>
        <v>0</v>
      </c>
      <c r="G92" s="6">
        <f>UnitsTable[[#This Row],[RN]]*CodeRatesTable[[#This Row],[RN]]</f>
        <v>0</v>
      </c>
      <c r="H92" s="6">
        <f>UnitsTable[[#This Row],[Certified Nurse Specialist]]*CodeRatesTable[[#This Row],[Certified Nurse Specialist]]</f>
        <v>0</v>
      </c>
      <c r="I92" s="6">
        <f>UnitsTable[[#This Row],[LVN]]*CodeRatesTable[[#This Row],[LVN]]</f>
        <v>0</v>
      </c>
      <c r="J92" s="6">
        <f>UnitsTable[[#This Row],[Pharmacist]]*CodeRatesTable[[#This Row],[Pharmacist]]</f>
        <v>0</v>
      </c>
      <c r="K92" s="6">
        <f>UnitsTable[[#This Row],[Licensed Psychiatric Technician]]*CodeRatesTable[[#This Row],[Licensed Psychiatric Technician]]</f>
        <v>0</v>
      </c>
      <c r="L92" s="6">
        <f>UnitsTable[[#This Row],[Psychologist/Pre-licensed Psychologist]]*CodeRatesTable[[#This Row],[Psychologist/Pre-licensed Psychologist]]</f>
        <v>0</v>
      </c>
      <c r="M92" s="6">
        <f>UnitsTable[[#This Row],[LPHA (MFT  LCSW  LPCC)/ Intern or Waivered LPHA (MFT  LCSW  LPCC)]]*CodeRatesTable[[#This Row],[LPHA (MFT  LCSW  LPCC)/ Intern or Waivered LPHA (MFT  LCSW  LPCC)]]</f>
        <v>0</v>
      </c>
      <c r="N92" s="6">
        <f>UnitsTable[[#This Row],[Occupational Therapist]]*CodeRatesTable[[#This Row],[Occupational Therapist]]</f>
        <v>0</v>
      </c>
      <c r="O92" s="6">
        <f>UnitsTable[[#This Row],[Mental Health Rehab Specialist]]*CodeRatesTable[[#This Row],[Mental Health Rehab Specialist]]</f>
        <v>0</v>
      </c>
      <c r="P92" s="6">
        <f>UnitsTable[[#This Row],[Peer Recovery Specialist]]*CodeRatesTable[[#This Row],[Peer Recovery Specialist]]</f>
        <v>0</v>
      </c>
      <c r="Q92" s="6">
        <f>UnitsTable[[#This Row],[Other Qualified Providers - Other Designated MH staff that bill medical]]*CodeRatesTable[[#This Row],[Other Qualified Providers - Other Designated MH staff that bill medical]]</f>
        <v>0</v>
      </c>
      <c r="R92" s="6">
        <f>SUM(RevenueTable[[#This Row],[Psychiatrist/ Contracted Psychiatrist]:[Other Qualified Providers - Other Designated MH staff that bill medical]])</f>
        <v>0</v>
      </c>
    </row>
    <row r="93" spans="1:18" hidden="1" x14ac:dyDescent="0.25">
      <c r="A93" s="6" t="str">
        <f>INDEX(CodeMinutesTable[Frequently Used],MATCH(RevenueTable[[#This Row],[Billing Code]],CodeMinutesTable[Code],0))</f>
        <v>No</v>
      </c>
      <c r="B93" s="3" t="s">
        <v>220</v>
      </c>
      <c r="C93" t="s">
        <v>221</v>
      </c>
      <c r="D93" s="6">
        <f>UnitsTable[[#This Row],[Psychiatrist/ Contracted Psychiatrist]]*CodeRatesTable[[#This Row],[Psychiatrist/ Contracted Psychiatrist]]</f>
        <v>0</v>
      </c>
      <c r="E93" s="6">
        <f>UnitsTable[[#This Row],[Physicians Assistant]]*CodeRatesTable[[#This Row],[Physicians Assistant]]</f>
        <v>0</v>
      </c>
      <c r="F93" s="6">
        <f>UnitsTable[[#This Row],[Nurse Practitioner]]*CodeRatesTable[[#This Row],[Nurse Practitioner]]</f>
        <v>0</v>
      </c>
      <c r="G93" s="6">
        <f>UnitsTable[[#This Row],[RN]]*CodeRatesTable[[#This Row],[RN]]</f>
        <v>0</v>
      </c>
      <c r="H93" s="6">
        <f>UnitsTable[[#This Row],[Certified Nurse Specialist]]*CodeRatesTable[[#This Row],[Certified Nurse Specialist]]</f>
        <v>0</v>
      </c>
      <c r="I93" s="6">
        <f>UnitsTable[[#This Row],[LVN]]*CodeRatesTable[[#This Row],[LVN]]</f>
        <v>0</v>
      </c>
      <c r="J93" s="6">
        <f>UnitsTable[[#This Row],[Pharmacist]]*CodeRatesTable[[#This Row],[Pharmacist]]</f>
        <v>0</v>
      </c>
      <c r="K93" s="6">
        <f>UnitsTable[[#This Row],[Licensed Psychiatric Technician]]*CodeRatesTable[[#This Row],[Licensed Psychiatric Technician]]</f>
        <v>0</v>
      </c>
      <c r="L93" s="6">
        <f>UnitsTable[[#This Row],[Psychologist/Pre-licensed Psychologist]]*CodeRatesTable[[#This Row],[Psychologist/Pre-licensed Psychologist]]</f>
        <v>0</v>
      </c>
      <c r="M93" s="6">
        <f>UnitsTable[[#This Row],[LPHA (MFT  LCSW  LPCC)/ Intern or Waivered LPHA (MFT  LCSW  LPCC)]]*CodeRatesTable[[#This Row],[LPHA (MFT  LCSW  LPCC)/ Intern or Waivered LPHA (MFT  LCSW  LPCC)]]</f>
        <v>0</v>
      </c>
      <c r="N93" s="6">
        <f>UnitsTable[[#This Row],[Occupational Therapist]]*CodeRatesTable[[#This Row],[Occupational Therapist]]</f>
        <v>0</v>
      </c>
      <c r="O93" s="6">
        <f>UnitsTable[[#This Row],[Mental Health Rehab Specialist]]*CodeRatesTable[[#This Row],[Mental Health Rehab Specialist]]</f>
        <v>0</v>
      </c>
      <c r="P93" s="6">
        <f>UnitsTable[[#This Row],[Peer Recovery Specialist]]*CodeRatesTable[[#This Row],[Peer Recovery Specialist]]</f>
        <v>0</v>
      </c>
      <c r="Q93" s="6">
        <f>UnitsTable[[#This Row],[Other Qualified Providers - Other Designated MH staff that bill medical]]*CodeRatesTable[[#This Row],[Other Qualified Providers - Other Designated MH staff that bill medical]]</f>
        <v>0</v>
      </c>
      <c r="R93" s="6">
        <f>SUM(RevenueTable[[#This Row],[Psychiatrist/ Contracted Psychiatrist]:[Other Qualified Providers - Other Designated MH staff that bill medical]])</f>
        <v>0</v>
      </c>
    </row>
    <row r="94" spans="1:18" hidden="1" x14ac:dyDescent="0.25">
      <c r="A94" s="6" t="str">
        <f>INDEX(CodeMinutesTable[Frequently Used],MATCH(RevenueTable[[#This Row],[Billing Code]],CodeMinutesTable[Code],0))</f>
        <v>No</v>
      </c>
      <c r="B94" s="3" t="s">
        <v>222</v>
      </c>
      <c r="C94" t="s">
        <v>223</v>
      </c>
      <c r="D94" s="6">
        <f>UnitsTable[[#This Row],[Psychiatrist/ Contracted Psychiatrist]]*CodeRatesTable[[#This Row],[Psychiatrist/ Contracted Psychiatrist]]</f>
        <v>0</v>
      </c>
      <c r="E94" s="6">
        <f>UnitsTable[[#This Row],[Physicians Assistant]]*CodeRatesTable[[#This Row],[Physicians Assistant]]</f>
        <v>0</v>
      </c>
      <c r="F94" s="6">
        <f>UnitsTable[[#This Row],[Nurse Practitioner]]*CodeRatesTable[[#This Row],[Nurse Practitioner]]</f>
        <v>0</v>
      </c>
      <c r="G94" s="6">
        <f>UnitsTable[[#This Row],[RN]]*CodeRatesTable[[#This Row],[RN]]</f>
        <v>0</v>
      </c>
      <c r="H94" s="6">
        <f>UnitsTable[[#This Row],[Certified Nurse Specialist]]*CodeRatesTable[[#This Row],[Certified Nurse Specialist]]</f>
        <v>0</v>
      </c>
      <c r="I94" s="6">
        <f>UnitsTable[[#This Row],[LVN]]*CodeRatesTable[[#This Row],[LVN]]</f>
        <v>0</v>
      </c>
      <c r="J94" s="6">
        <f>UnitsTable[[#This Row],[Pharmacist]]*CodeRatesTable[[#This Row],[Pharmacist]]</f>
        <v>0</v>
      </c>
      <c r="K94" s="6">
        <f>UnitsTable[[#This Row],[Licensed Psychiatric Technician]]*CodeRatesTable[[#This Row],[Licensed Psychiatric Technician]]</f>
        <v>0</v>
      </c>
      <c r="L94" s="6">
        <f>UnitsTable[[#This Row],[Psychologist/Pre-licensed Psychologist]]*CodeRatesTable[[#This Row],[Psychologist/Pre-licensed Psychologist]]</f>
        <v>0</v>
      </c>
      <c r="M94" s="6">
        <f>UnitsTable[[#This Row],[LPHA (MFT  LCSW  LPCC)/ Intern or Waivered LPHA (MFT  LCSW  LPCC)]]*CodeRatesTable[[#This Row],[LPHA (MFT  LCSW  LPCC)/ Intern or Waivered LPHA (MFT  LCSW  LPCC)]]</f>
        <v>0</v>
      </c>
      <c r="N94" s="6">
        <f>UnitsTable[[#This Row],[Occupational Therapist]]*CodeRatesTable[[#This Row],[Occupational Therapist]]</f>
        <v>0</v>
      </c>
      <c r="O94" s="6">
        <f>UnitsTable[[#This Row],[Mental Health Rehab Specialist]]*CodeRatesTable[[#This Row],[Mental Health Rehab Specialist]]</f>
        <v>0</v>
      </c>
      <c r="P94" s="6">
        <f>UnitsTable[[#This Row],[Peer Recovery Specialist]]*CodeRatesTable[[#This Row],[Peer Recovery Specialist]]</f>
        <v>0</v>
      </c>
      <c r="Q94" s="6">
        <f>UnitsTable[[#This Row],[Other Qualified Providers - Other Designated MH staff that bill medical]]*CodeRatesTable[[#This Row],[Other Qualified Providers - Other Designated MH staff that bill medical]]</f>
        <v>0</v>
      </c>
      <c r="R94" s="6">
        <f>SUM(RevenueTable[[#This Row],[Psychiatrist/ Contracted Psychiatrist]:[Other Qualified Providers - Other Designated MH staff that bill medical]])</f>
        <v>0</v>
      </c>
    </row>
    <row r="95" spans="1:18" hidden="1" x14ac:dyDescent="0.25">
      <c r="A95" s="6" t="str">
        <f>INDEX(CodeMinutesTable[Frequently Used],MATCH(RevenueTable[[#This Row],[Billing Code]],CodeMinutesTable[Code],0))</f>
        <v>No</v>
      </c>
      <c r="B95" s="3" t="s">
        <v>224</v>
      </c>
      <c r="C95" t="s">
        <v>225</v>
      </c>
      <c r="D95" s="6">
        <f>UnitsTable[[#This Row],[Psychiatrist/ Contracted Psychiatrist]]*CodeRatesTable[[#This Row],[Psychiatrist/ Contracted Psychiatrist]]</f>
        <v>0</v>
      </c>
      <c r="E95" s="6">
        <f>UnitsTable[[#This Row],[Physicians Assistant]]*CodeRatesTable[[#This Row],[Physicians Assistant]]</f>
        <v>0</v>
      </c>
      <c r="F95" s="6">
        <f>UnitsTable[[#This Row],[Nurse Practitioner]]*CodeRatesTable[[#This Row],[Nurse Practitioner]]</f>
        <v>0</v>
      </c>
      <c r="G95" s="6">
        <f>UnitsTable[[#This Row],[RN]]*CodeRatesTable[[#This Row],[RN]]</f>
        <v>0</v>
      </c>
      <c r="H95" s="6">
        <f>UnitsTable[[#This Row],[Certified Nurse Specialist]]*CodeRatesTable[[#This Row],[Certified Nurse Specialist]]</f>
        <v>0</v>
      </c>
      <c r="I95" s="6">
        <f>UnitsTable[[#This Row],[LVN]]*CodeRatesTable[[#This Row],[LVN]]</f>
        <v>0</v>
      </c>
      <c r="J95" s="6">
        <f>UnitsTable[[#This Row],[Pharmacist]]*CodeRatesTable[[#This Row],[Pharmacist]]</f>
        <v>0</v>
      </c>
      <c r="K95" s="6">
        <f>UnitsTable[[#This Row],[Licensed Psychiatric Technician]]*CodeRatesTable[[#This Row],[Licensed Psychiatric Technician]]</f>
        <v>0</v>
      </c>
      <c r="L95" s="6">
        <f>UnitsTable[[#This Row],[Psychologist/Pre-licensed Psychologist]]*CodeRatesTable[[#This Row],[Psychologist/Pre-licensed Psychologist]]</f>
        <v>0</v>
      </c>
      <c r="M95" s="6">
        <f>UnitsTable[[#This Row],[LPHA (MFT  LCSW  LPCC)/ Intern or Waivered LPHA (MFT  LCSW  LPCC)]]*CodeRatesTable[[#This Row],[LPHA (MFT  LCSW  LPCC)/ Intern or Waivered LPHA (MFT  LCSW  LPCC)]]</f>
        <v>0</v>
      </c>
      <c r="N95" s="6">
        <f>UnitsTable[[#This Row],[Occupational Therapist]]*CodeRatesTable[[#This Row],[Occupational Therapist]]</f>
        <v>0</v>
      </c>
      <c r="O95" s="6">
        <f>UnitsTable[[#This Row],[Mental Health Rehab Specialist]]*CodeRatesTable[[#This Row],[Mental Health Rehab Specialist]]</f>
        <v>0</v>
      </c>
      <c r="P95" s="6">
        <f>UnitsTable[[#This Row],[Peer Recovery Specialist]]*CodeRatesTable[[#This Row],[Peer Recovery Specialist]]</f>
        <v>0</v>
      </c>
      <c r="Q95" s="6">
        <f>UnitsTable[[#This Row],[Other Qualified Providers - Other Designated MH staff that bill medical]]*CodeRatesTable[[#This Row],[Other Qualified Providers - Other Designated MH staff that bill medical]]</f>
        <v>0</v>
      </c>
      <c r="R95" s="6">
        <f>SUM(RevenueTable[[#This Row],[Psychiatrist/ Contracted Psychiatrist]:[Other Qualified Providers - Other Designated MH staff that bill medical]])</f>
        <v>0</v>
      </c>
    </row>
    <row r="96" spans="1:18" hidden="1" x14ac:dyDescent="0.25">
      <c r="A96" s="6" t="str">
        <f>INDEX(CodeMinutesTable[Frequently Used],MATCH(RevenueTable[[#This Row],[Billing Code]],CodeMinutesTable[Code],0))</f>
        <v>No</v>
      </c>
      <c r="B96" s="3" t="s">
        <v>226</v>
      </c>
      <c r="C96" t="s">
        <v>227</v>
      </c>
      <c r="D96" s="6">
        <f>UnitsTable[[#This Row],[Psychiatrist/ Contracted Psychiatrist]]*CodeRatesTable[[#This Row],[Psychiatrist/ Contracted Psychiatrist]]</f>
        <v>0</v>
      </c>
      <c r="E96" s="6">
        <f>UnitsTable[[#This Row],[Physicians Assistant]]*CodeRatesTable[[#This Row],[Physicians Assistant]]</f>
        <v>0</v>
      </c>
      <c r="F96" s="6">
        <f>UnitsTable[[#This Row],[Nurse Practitioner]]*CodeRatesTable[[#This Row],[Nurse Practitioner]]</f>
        <v>0</v>
      </c>
      <c r="G96" s="6">
        <f>UnitsTable[[#This Row],[RN]]*CodeRatesTable[[#This Row],[RN]]</f>
        <v>0</v>
      </c>
      <c r="H96" s="6">
        <f>UnitsTable[[#This Row],[Certified Nurse Specialist]]*CodeRatesTable[[#This Row],[Certified Nurse Specialist]]</f>
        <v>0</v>
      </c>
      <c r="I96" s="6">
        <f>UnitsTable[[#This Row],[LVN]]*CodeRatesTable[[#This Row],[LVN]]</f>
        <v>0</v>
      </c>
      <c r="J96" s="6">
        <f>UnitsTable[[#This Row],[Pharmacist]]*CodeRatesTable[[#This Row],[Pharmacist]]</f>
        <v>0</v>
      </c>
      <c r="K96" s="6">
        <f>UnitsTable[[#This Row],[Licensed Psychiatric Technician]]*CodeRatesTable[[#This Row],[Licensed Psychiatric Technician]]</f>
        <v>0</v>
      </c>
      <c r="L96" s="6">
        <f>UnitsTable[[#This Row],[Psychologist/Pre-licensed Psychologist]]*CodeRatesTable[[#This Row],[Psychologist/Pre-licensed Psychologist]]</f>
        <v>0</v>
      </c>
      <c r="M96" s="6">
        <f>UnitsTable[[#This Row],[LPHA (MFT  LCSW  LPCC)/ Intern or Waivered LPHA (MFT  LCSW  LPCC)]]*CodeRatesTable[[#This Row],[LPHA (MFT  LCSW  LPCC)/ Intern or Waivered LPHA (MFT  LCSW  LPCC)]]</f>
        <v>0</v>
      </c>
      <c r="N96" s="6">
        <f>UnitsTable[[#This Row],[Occupational Therapist]]*CodeRatesTable[[#This Row],[Occupational Therapist]]</f>
        <v>0</v>
      </c>
      <c r="O96" s="6">
        <f>UnitsTable[[#This Row],[Mental Health Rehab Specialist]]*CodeRatesTable[[#This Row],[Mental Health Rehab Specialist]]</f>
        <v>0</v>
      </c>
      <c r="P96" s="6">
        <f>UnitsTable[[#This Row],[Peer Recovery Specialist]]*CodeRatesTable[[#This Row],[Peer Recovery Specialist]]</f>
        <v>0</v>
      </c>
      <c r="Q96" s="6">
        <f>UnitsTable[[#This Row],[Other Qualified Providers - Other Designated MH staff that bill medical]]*CodeRatesTable[[#This Row],[Other Qualified Providers - Other Designated MH staff that bill medical]]</f>
        <v>0</v>
      </c>
      <c r="R96" s="6">
        <f>SUM(RevenueTable[[#This Row],[Psychiatrist/ Contracted Psychiatrist]:[Other Qualified Providers - Other Designated MH staff that bill medical]])</f>
        <v>0</v>
      </c>
    </row>
    <row r="97" spans="1:18" hidden="1" x14ac:dyDescent="0.25">
      <c r="A97" s="6" t="str">
        <f>INDEX(CodeMinutesTable[Frequently Used],MATCH(RevenueTable[[#This Row],[Billing Code]],CodeMinutesTable[Code],0))</f>
        <v>No</v>
      </c>
      <c r="B97" s="3" t="s">
        <v>228</v>
      </c>
      <c r="C97" t="s">
        <v>229</v>
      </c>
      <c r="D97" s="6">
        <f>UnitsTable[[#This Row],[Psychiatrist/ Contracted Psychiatrist]]*CodeRatesTable[[#This Row],[Psychiatrist/ Contracted Psychiatrist]]</f>
        <v>0</v>
      </c>
      <c r="E97" s="6">
        <f>UnitsTable[[#This Row],[Physicians Assistant]]*CodeRatesTable[[#This Row],[Physicians Assistant]]</f>
        <v>0</v>
      </c>
      <c r="F97" s="6">
        <f>UnitsTable[[#This Row],[Nurse Practitioner]]*CodeRatesTable[[#This Row],[Nurse Practitioner]]</f>
        <v>0</v>
      </c>
      <c r="G97" s="6">
        <f>UnitsTable[[#This Row],[RN]]*CodeRatesTable[[#This Row],[RN]]</f>
        <v>0</v>
      </c>
      <c r="H97" s="6">
        <f>UnitsTable[[#This Row],[Certified Nurse Specialist]]*CodeRatesTable[[#This Row],[Certified Nurse Specialist]]</f>
        <v>0</v>
      </c>
      <c r="I97" s="6">
        <f>UnitsTable[[#This Row],[LVN]]*CodeRatesTable[[#This Row],[LVN]]</f>
        <v>0</v>
      </c>
      <c r="J97" s="6">
        <f>UnitsTable[[#This Row],[Pharmacist]]*CodeRatesTable[[#This Row],[Pharmacist]]</f>
        <v>0</v>
      </c>
      <c r="K97" s="6">
        <f>UnitsTable[[#This Row],[Licensed Psychiatric Technician]]*CodeRatesTable[[#This Row],[Licensed Psychiatric Technician]]</f>
        <v>0</v>
      </c>
      <c r="L97" s="6">
        <f>UnitsTable[[#This Row],[Psychologist/Pre-licensed Psychologist]]*CodeRatesTable[[#This Row],[Psychologist/Pre-licensed Psychologist]]</f>
        <v>0</v>
      </c>
      <c r="M97" s="6">
        <f>UnitsTable[[#This Row],[LPHA (MFT  LCSW  LPCC)/ Intern or Waivered LPHA (MFT  LCSW  LPCC)]]*CodeRatesTable[[#This Row],[LPHA (MFT  LCSW  LPCC)/ Intern or Waivered LPHA (MFT  LCSW  LPCC)]]</f>
        <v>0</v>
      </c>
      <c r="N97" s="6">
        <f>UnitsTable[[#This Row],[Occupational Therapist]]*CodeRatesTable[[#This Row],[Occupational Therapist]]</f>
        <v>0</v>
      </c>
      <c r="O97" s="6">
        <f>UnitsTable[[#This Row],[Mental Health Rehab Specialist]]*CodeRatesTable[[#This Row],[Mental Health Rehab Specialist]]</f>
        <v>0</v>
      </c>
      <c r="P97" s="6">
        <f>UnitsTable[[#This Row],[Peer Recovery Specialist]]*CodeRatesTable[[#This Row],[Peer Recovery Specialist]]</f>
        <v>0</v>
      </c>
      <c r="Q97" s="6">
        <f>UnitsTable[[#This Row],[Other Qualified Providers - Other Designated MH staff that bill medical]]*CodeRatesTable[[#This Row],[Other Qualified Providers - Other Designated MH staff that bill medical]]</f>
        <v>0</v>
      </c>
      <c r="R97" s="6">
        <f>SUM(RevenueTable[[#This Row],[Psychiatrist/ Contracted Psychiatrist]:[Other Qualified Providers - Other Designated MH staff that bill medical]])</f>
        <v>0</v>
      </c>
    </row>
    <row r="98" spans="1:18" hidden="1" x14ac:dyDescent="0.25">
      <c r="A98" s="6" t="str">
        <f>INDEX(CodeMinutesTable[Frequently Used],MATCH(RevenueTable[[#This Row],[Billing Code]],CodeMinutesTable[Code],0))</f>
        <v>No</v>
      </c>
      <c r="B98" s="3" t="s">
        <v>230</v>
      </c>
      <c r="C98" t="s">
        <v>231</v>
      </c>
      <c r="D98" s="6">
        <f>UnitsTable[[#This Row],[Psychiatrist/ Contracted Psychiatrist]]*CodeRatesTable[[#This Row],[Psychiatrist/ Contracted Psychiatrist]]</f>
        <v>0</v>
      </c>
      <c r="E98" s="6">
        <f>UnitsTable[[#This Row],[Physicians Assistant]]*CodeRatesTable[[#This Row],[Physicians Assistant]]</f>
        <v>0</v>
      </c>
      <c r="F98" s="6">
        <f>UnitsTable[[#This Row],[Nurse Practitioner]]*CodeRatesTable[[#This Row],[Nurse Practitioner]]</f>
        <v>0</v>
      </c>
      <c r="G98" s="6">
        <f>UnitsTable[[#This Row],[RN]]*CodeRatesTable[[#This Row],[RN]]</f>
        <v>0</v>
      </c>
      <c r="H98" s="6">
        <f>UnitsTable[[#This Row],[Certified Nurse Specialist]]*CodeRatesTable[[#This Row],[Certified Nurse Specialist]]</f>
        <v>0</v>
      </c>
      <c r="I98" s="6">
        <f>UnitsTable[[#This Row],[LVN]]*CodeRatesTable[[#This Row],[LVN]]</f>
        <v>0</v>
      </c>
      <c r="J98" s="6">
        <f>UnitsTable[[#This Row],[Pharmacist]]*CodeRatesTable[[#This Row],[Pharmacist]]</f>
        <v>0</v>
      </c>
      <c r="K98" s="6">
        <f>UnitsTable[[#This Row],[Licensed Psychiatric Technician]]*CodeRatesTable[[#This Row],[Licensed Psychiatric Technician]]</f>
        <v>0</v>
      </c>
      <c r="L98" s="6">
        <f>UnitsTable[[#This Row],[Psychologist/Pre-licensed Psychologist]]*CodeRatesTable[[#This Row],[Psychologist/Pre-licensed Psychologist]]</f>
        <v>0</v>
      </c>
      <c r="M98" s="6">
        <f>UnitsTable[[#This Row],[LPHA (MFT  LCSW  LPCC)/ Intern or Waivered LPHA (MFT  LCSW  LPCC)]]*CodeRatesTable[[#This Row],[LPHA (MFT  LCSW  LPCC)/ Intern or Waivered LPHA (MFT  LCSW  LPCC)]]</f>
        <v>0</v>
      </c>
      <c r="N98" s="6">
        <f>UnitsTable[[#This Row],[Occupational Therapist]]*CodeRatesTable[[#This Row],[Occupational Therapist]]</f>
        <v>0</v>
      </c>
      <c r="O98" s="6">
        <f>UnitsTable[[#This Row],[Mental Health Rehab Specialist]]*CodeRatesTable[[#This Row],[Mental Health Rehab Specialist]]</f>
        <v>0</v>
      </c>
      <c r="P98" s="6">
        <f>UnitsTable[[#This Row],[Peer Recovery Specialist]]*CodeRatesTable[[#This Row],[Peer Recovery Specialist]]</f>
        <v>0</v>
      </c>
      <c r="Q98" s="6">
        <f>UnitsTable[[#This Row],[Other Qualified Providers - Other Designated MH staff that bill medical]]*CodeRatesTable[[#This Row],[Other Qualified Providers - Other Designated MH staff that bill medical]]</f>
        <v>0</v>
      </c>
      <c r="R98" s="6">
        <f>SUM(RevenueTable[[#This Row],[Psychiatrist/ Contracted Psychiatrist]:[Other Qualified Providers - Other Designated MH staff that bill medical]])</f>
        <v>0</v>
      </c>
    </row>
    <row r="99" spans="1:18" hidden="1" x14ac:dyDescent="0.25">
      <c r="A99" s="6" t="str">
        <f>INDEX(CodeMinutesTable[Frequently Used],MATCH(RevenueTable[[#This Row],[Billing Code]],CodeMinutesTable[Code],0))</f>
        <v>No</v>
      </c>
      <c r="B99" s="3" t="s">
        <v>232</v>
      </c>
      <c r="C99" t="s">
        <v>233</v>
      </c>
      <c r="D99" s="6">
        <f>UnitsTable[[#This Row],[Psychiatrist/ Contracted Psychiatrist]]*CodeRatesTable[[#This Row],[Psychiatrist/ Contracted Psychiatrist]]</f>
        <v>0</v>
      </c>
      <c r="E99" s="6">
        <f>UnitsTable[[#This Row],[Physicians Assistant]]*CodeRatesTable[[#This Row],[Physicians Assistant]]</f>
        <v>0</v>
      </c>
      <c r="F99" s="6">
        <f>UnitsTable[[#This Row],[Nurse Practitioner]]*CodeRatesTable[[#This Row],[Nurse Practitioner]]</f>
        <v>0</v>
      </c>
      <c r="G99" s="6">
        <f>UnitsTable[[#This Row],[RN]]*CodeRatesTable[[#This Row],[RN]]</f>
        <v>0</v>
      </c>
      <c r="H99" s="6">
        <f>UnitsTable[[#This Row],[Certified Nurse Specialist]]*CodeRatesTable[[#This Row],[Certified Nurse Specialist]]</f>
        <v>0</v>
      </c>
      <c r="I99" s="6">
        <f>UnitsTable[[#This Row],[LVN]]*CodeRatesTable[[#This Row],[LVN]]</f>
        <v>0</v>
      </c>
      <c r="J99" s="6">
        <f>UnitsTable[[#This Row],[Pharmacist]]*CodeRatesTable[[#This Row],[Pharmacist]]</f>
        <v>0</v>
      </c>
      <c r="K99" s="6">
        <f>UnitsTable[[#This Row],[Licensed Psychiatric Technician]]*CodeRatesTable[[#This Row],[Licensed Psychiatric Technician]]</f>
        <v>0</v>
      </c>
      <c r="L99" s="6">
        <f>UnitsTable[[#This Row],[Psychologist/Pre-licensed Psychologist]]*CodeRatesTable[[#This Row],[Psychologist/Pre-licensed Psychologist]]</f>
        <v>0</v>
      </c>
      <c r="M99" s="6">
        <f>UnitsTable[[#This Row],[LPHA (MFT  LCSW  LPCC)/ Intern or Waivered LPHA (MFT  LCSW  LPCC)]]*CodeRatesTable[[#This Row],[LPHA (MFT  LCSW  LPCC)/ Intern or Waivered LPHA (MFT  LCSW  LPCC)]]</f>
        <v>0</v>
      </c>
      <c r="N99" s="6">
        <f>UnitsTable[[#This Row],[Occupational Therapist]]*CodeRatesTable[[#This Row],[Occupational Therapist]]</f>
        <v>0</v>
      </c>
      <c r="O99" s="6">
        <f>UnitsTable[[#This Row],[Mental Health Rehab Specialist]]*CodeRatesTable[[#This Row],[Mental Health Rehab Specialist]]</f>
        <v>0</v>
      </c>
      <c r="P99" s="6">
        <f>UnitsTable[[#This Row],[Peer Recovery Specialist]]*CodeRatesTable[[#This Row],[Peer Recovery Specialist]]</f>
        <v>0</v>
      </c>
      <c r="Q99" s="6">
        <f>UnitsTable[[#This Row],[Other Qualified Providers - Other Designated MH staff that bill medical]]*CodeRatesTable[[#This Row],[Other Qualified Providers - Other Designated MH staff that bill medical]]</f>
        <v>0</v>
      </c>
      <c r="R99" s="6">
        <f>SUM(RevenueTable[[#This Row],[Psychiatrist/ Contracted Psychiatrist]:[Other Qualified Providers - Other Designated MH staff that bill medical]])</f>
        <v>0</v>
      </c>
    </row>
    <row r="100" spans="1:18" hidden="1" x14ac:dyDescent="0.25">
      <c r="A100" s="6" t="str">
        <f>INDEX(CodeMinutesTable[Frequently Used],MATCH(RevenueTable[[#This Row],[Billing Code]],CodeMinutesTable[Code],0))</f>
        <v>No</v>
      </c>
      <c r="B100" s="3" t="s">
        <v>234</v>
      </c>
      <c r="C100" t="s">
        <v>235</v>
      </c>
      <c r="D100" s="6">
        <f>UnitsTable[[#This Row],[Psychiatrist/ Contracted Psychiatrist]]*CodeRatesTable[[#This Row],[Psychiatrist/ Contracted Psychiatrist]]</f>
        <v>0</v>
      </c>
      <c r="E100" s="6">
        <f>UnitsTable[[#This Row],[Physicians Assistant]]*CodeRatesTable[[#This Row],[Physicians Assistant]]</f>
        <v>0</v>
      </c>
      <c r="F100" s="6">
        <f>UnitsTable[[#This Row],[Nurse Practitioner]]*CodeRatesTable[[#This Row],[Nurse Practitioner]]</f>
        <v>0</v>
      </c>
      <c r="G100" s="6">
        <f>UnitsTable[[#This Row],[RN]]*CodeRatesTable[[#This Row],[RN]]</f>
        <v>0</v>
      </c>
      <c r="H100" s="6">
        <f>UnitsTable[[#This Row],[Certified Nurse Specialist]]*CodeRatesTable[[#This Row],[Certified Nurse Specialist]]</f>
        <v>0</v>
      </c>
      <c r="I100" s="6">
        <f>UnitsTable[[#This Row],[LVN]]*CodeRatesTable[[#This Row],[LVN]]</f>
        <v>0</v>
      </c>
      <c r="J100" s="6">
        <f>UnitsTable[[#This Row],[Pharmacist]]*CodeRatesTable[[#This Row],[Pharmacist]]</f>
        <v>0</v>
      </c>
      <c r="K100" s="6">
        <f>UnitsTable[[#This Row],[Licensed Psychiatric Technician]]*CodeRatesTable[[#This Row],[Licensed Psychiatric Technician]]</f>
        <v>0</v>
      </c>
      <c r="L100" s="6">
        <f>UnitsTable[[#This Row],[Psychologist/Pre-licensed Psychologist]]*CodeRatesTable[[#This Row],[Psychologist/Pre-licensed Psychologist]]</f>
        <v>0</v>
      </c>
      <c r="M100" s="6">
        <f>UnitsTable[[#This Row],[LPHA (MFT  LCSW  LPCC)/ Intern or Waivered LPHA (MFT  LCSW  LPCC)]]*CodeRatesTable[[#This Row],[LPHA (MFT  LCSW  LPCC)/ Intern or Waivered LPHA (MFT  LCSW  LPCC)]]</f>
        <v>0</v>
      </c>
      <c r="N100" s="6">
        <f>UnitsTable[[#This Row],[Occupational Therapist]]*CodeRatesTable[[#This Row],[Occupational Therapist]]</f>
        <v>0</v>
      </c>
      <c r="O100" s="6">
        <f>UnitsTable[[#This Row],[Mental Health Rehab Specialist]]*CodeRatesTable[[#This Row],[Mental Health Rehab Specialist]]</f>
        <v>0</v>
      </c>
      <c r="P100" s="6">
        <f>UnitsTable[[#This Row],[Peer Recovery Specialist]]*CodeRatesTable[[#This Row],[Peer Recovery Specialist]]</f>
        <v>0</v>
      </c>
      <c r="Q100" s="6">
        <f>UnitsTable[[#This Row],[Other Qualified Providers - Other Designated MH staff that bill medical]]*CodeRatesTable[[#This Row],[Other Qualified Providers - Other Designated MH staff that bill medical]]</f>
        <v>0</v>
      </c>
      <c r="R100" s="6">
        <f>SUM(RevenueTable[[#This Row],[Psychiatrist/ Contracted Psychiatrist]:[Other Qualified Providers - Other Designated MH staff that bill medical]])</f>
        <v>0</v>
      </c>
    </row>
    <row r="101" spans="1:18" hidden="1" x14ac:dyDescent="0.25">
      <c r="A101" s="6" t="str">
        <f>INDEX(CodeMinutesTable[Frequently Used],MATCH(RevenueTable[[#This Row],[Billing Code]],CodeMinutesTable[Code],0))</f>
        <v>No</v>
      </c>
      <c r="B101" s="3" t="s">
        <v>236</v>
      </c>
      <c r="C101" t="s">
        <v>237</v>
      </c>
      <c r="D101" s="6">
        <f>UnitsTable[[#This Row],[Psychiatrist/ Contracted Psychiatrist]]*CodeRatesTable[[#This Row],[Psychiatrist/ Contracted Psychiatrist]]</f>
        <v>0</v>
      </c>
      <c r="E101" s="6">
        <f>UnitsTable[[#This Row],[Physicians Assistant]]*CodeRatesTable[[#This Row],[Physicians Assistant]]</f>
        <v>0</v>
      </c>
      <c r="F101" s="6">
        <f>UnitsTable[[#This Row],[Nurse Practitioner]]*CodeRatesTable[[#This Row],[Nurse Practitioner]]</f>
        <v>0</v>
      </c>
      <c r="G101" s="6">
        <f>UnitsTable[[#This Row],[RN]]*CodeRatesTable[[#This Row],[RN]]</f>
        <v>0</v>
      </c>
      <c r="H101" s="6">
        <f>UnitsTable[[#This Row],[Certified Nurse Specialist]]*CodeRatesTable[[#This Row],[Certified Nurse Specialist]]</f>
        <v>0</v>
      </c>
      <c r="I101" s="6">
        <f>UnitsTable[[#This Row],[LVN]]*CodeRatesTable[[#This Row],[LVN]]</f>
        <v>0</v>
      </c>
      <c r="J101" s="6">
        <f>UnitsTable[[#This Row],[Pharmacist]]*CodeRatesTable[[#This Row],[Pharmacist]]</f>
        <v>0</v>
      </c>
      <c r="K101" s="6">
        <f>UnitsTable[[#This Row],[Licensed Psychiatric Technician]]*CodeRatesTable[[#This Row],[Licensed Psychiatric Technician]]</f>
        <v>0</v>
      </c>
      <c r="L101" s="6">
        <f>UnitsTable[[#This Row],[Psychologist/Pre-licensed Psychologist]]*CodeRatesTable[[#This Row],[Psychologist/Pre-licensed Psychologist]]</f>
        <v>0</v>
      </c>
      <c r="M101" s="6">
        <f>UnitsTable[[#This Row],[LPHA (MFT  LCSW  LPCC)/ Intern or Waivered LPHA (MFT  LCSW  LPCC)]]*CodeRatesTable[[#This Row],[LPHA (MFT  LCSW  LPCC)/ Intern or Waivered LPHA (MFT  LCSW  LPCC)]]</f>
        <v>0</v>
      </c>
      <c r="N101" s="6">
        <f>UnitsTable[[#This Row],[Occupational Therapist]]*CodeRatesTable[[#This Row],[Occupational Therapist]]</f>
        <v>0</v>
      </c>
      <c r="O101" s="6">
        <f>UnitsTable[[#This Row],[Mental Health Rehab Specialist]]*CodeRatesTable[[#This Row],[Mental Health Rehab Specialist]]</f>
        <v>0</v>
      </c>
      <c r="P101" s="6">
        <f>UnitsTable[[#This Row],[Peer Recovery Specialist]]*CodeRatesTable[[#This Row],[Peer Recovery Specialist]]</f>
        <v>0</v>
      </c>
      <c r="Q101" s="6">
        <f>UnitsTable[[#This Row],[Other Qualified Providers - Other Designated MH staff that bill medical]]*CodeRatesTable[[#This Row],[Other Qualified Providers - Other Designated MH staff that bill medical]]</f>
        <v>0</v>
      </c>
      <c r="R101" s="6">
        <f>SUM(RevenueTable[[#This Row],[Psychiatrist/ Contracted Psychiatrist]:[Other Qualified Providers - Other Designated MH staff that bill medical]])</f>
        <v>0</v>
      </c>
    </row>
    <row r="102" spans="1:18" hidden="1" x14ac:dyDescent="0.25">
      <c r="A102" s="6" t="str">
        <f>INDEX(CodeMinutesTable[Frequently Used],MATCH(RevenueTable[[#This Row],[Billing Code]],CodeMinutesTable[Code],0))</f>
        <v>No</v>
      </c>
      <c r="B102" s="3" t="s">
        <v>238</v>
      </c>
      <c r="C102" t="s">
        <v>239</v>
      </c>
      <c r="D102" s="6">
        <f>UnitsTable[[#This Row],[Psychiatrist/ Contracted Psychiatrist]]*CodeRatesTable[[#This Row],[Psychiatrist/ Contracted Psychiatrist]]</f>
        <v>0</v>
      </c>
      <c r="E102" s="6">
        <f>UnitsTable[[#This Row],[Physicians Assistant]]*CodeRatesTable[[#This Row],[Physicians Assistant]]</f>
        <v>0</v>
      </c>
      <c r="F102" s="6">
        <f>UnitsTable[[#This Row],[Nurse Practitioner]]*CodeRatesTable[[#This Row],[Nurse Practitioner]]</f>
        <v>0</v>
      </c>
      <c r="G102" s="6">
        <f>UnitsTable[[#This Row],[RN]]*CodeRatesTable[[#This Row],[RN]]</f>
        <v>0</v>
      </c>
      <c r="H102" s="6">
        <f>UnitsTable[[#This Row],[Certified Nurse Specialist]]*CodeRatesTable[[#This Row],[Certified Nurse Specialist]]</f>
        <v>0</v>
      </c>
      <c r="I102" s="6">
        <f>UnitsTable[[#This Row],[LVN]]*CodeRatesTable[[#This Row],[LVN]]</f>
        <v>0</v>
      </c>
      <c r="J102" s="6">
        <f>UnitsTable[[#This Row],[Pharmacist]]*CodeRatesTable[[#This Row],[Pharmacist]]</f>
        <v>0</v>
      </c>
      <c r="K102" s="6">
        <f>UnitsTable[[#This Row],[Licensed Psychiatric Technician]]*CodeRatesTable[[#This Row],[Licensed Psychiatric Technician]]</f>
        <v>0</v>
      </c>
      <c r="L102" s="6">
        <f>UnitsTable[[#This Row],[Psychologist/Pre-licensed Psychologist]]*CodeRatesTable[[#This Row],[Psychologist/Pre-licensed Psychologist]]</f>
        <v>0</v>
      </c>
      <c r="M102" s="6">
        <f>UnitsTable[[#This Row],[LPHA (MFT  LCSW  LPCC)/ Intern or Waivered LPHA (MFT  LCSW  LPCC)]]*CodeRatesTable[[#This Row],[LPHA (MFT  LCSW  LPCC)/ Intern or Waivered LPHA (MFT  LCSW  LPCC)]]</f>
        <v>0</v>
      </c>
      <c r="N102" s="6">
        <f>UnitsTable[[#This Row],[Occupational Therapist]]*CodeRatesTable[[#This Row],[Occupational Therapist]]</f>
        <v>0</v>
      </c>
      <c r="O102" s="6">
        <f>UnitsTable[[#This Row],[Mental Health Rehab Specialist]]*CodeRatesTable[[#This Row],[Mental Health Rehab Specialist]]</f>
        <v>0</v>
      </c>
      <c r="P102" s="6">
        <f>UnitsTable[[#This Row],[Peer Recovery Specialist]]*CodeRatesTable[[#This Row],[Peer Recovery Specialist]]</f>
        <v>0</v>
      </c>
      <c r="Q102" s="6">
        <f>UnitsTable[[#This Row],[Other Qualified Providers - Other Designated MH staff that bill medical]]*CodeRatesTable[[#This Row],[Other Qualified Providers - Other Designated MH staff that bill medical]]</f>
        <v>0</v>
      </c>
      <c r="R102" s="6">
        <f>SUM(RevenueTable[[#This Row],[Psychiatrist/ Contracted Psychiatrist]:[Other Qualified Providers - Other Designated MH staff that bill medical]])</f>
        <v>0</v>
      </c>
    </row>
    <row r="103" spans="1:18" hidden="1" x14ac:dyDescent="0.25">
      <c r="A103" s="6" t="str">
        <f>INDEX(CodeMinutesTable[Frequently Used],MATCH(RevenueTable[[#This Row],[Billing Code]],CodeMinutesTable[Code],0))</f>
        <v>No</v>
      </c>
      <c r="B103" s="3" t="s">
        <v>240</v>
      </c>
      <c r="C103" t="s">
        <v>241</v>
      </c>
      <c r="D103" s="6">
        <f>UnitsTable[[#This Row],[Psychiatrist/ Contracted Psychiatrist]]*CodeRatesTable[[#This Row],[Psychiatrist/ Contracted Psychiatrist]]</f>
        <v>0</v>
      </c>
      <c r="E103" s="6">
        <f>UnitsTable[[#This Row],[Physicians Assistant]]*CodeRatesTable[[#This Row],[Physicians Assistant]]</f>
        <v>0</v>
      </c>
      <c r="F103" s="6">
        <f>UnitsTable[[#This Row],[Nurse Practitioner]]*CodeRatesTable[[#This Row],[Nurse Practitioner]]</f>
        <v>0</v>
      </c>
      <c r="G103" s="6">
        <f>UnitsTable[[#This Row],[RN]]*CodeRatesTable[[#This Row],[RN]]</f>
        <v>0</v>
      </c>
      <c r="H103" s="6">
        <f>UnitsTable[[#This Row],[Certified Nurse Specialist]]*CodeRatesTable[[#This Row],[Certified Nurse Specialist]]</f>
        <v>0</v>
      </c>
      <c r="I103" s="6">
        <f>UnitsTable[[#This Row],[LVN]]*CodeRatesTable[[#This Row],[LVN]]</f>
        <v>0</v>
      </c>
      <c r="J103" s="6">
        <f>UnitsTable[[#This Row],[Pharmacist]]*CodeRatesTable[[#This Row],[Pharmacist]]</f>
        <v>0</v>
      </c>
      <c r="K103" s="6">
        <f>UnitsTable[[#This Row],[Licensed Psychiatric Technician]]*CodeRatesTable[[#This Row],[Licensed Psychiatric Technician]]</f>
        <v>0</v>
      </c>
      <c r="L103" s="6">
        <f>UnitsTable[[#This Row],[Psychologist/Pre-licensed Psychologist]]*CodeRatesTable[[#This Row],[Psychologist/Pre-licensed Psychologist]]</f>
        <v>0</v>
      </c>
      <c r="M103" s="6">
        <f>UnitsTable[[#This Row],[LPHA (MFT  LCSW  LPCC)/ Intern or Waivered LPHA (MFT  LCSW  LPCC)]]*CodeRatesTable[[#This Row],[LPHA (MFT  LCSW  LPCC)/ Intern or Waivered LPHA (MFT  LCSW  LPCC)]]</f>
        <v>0</v>
      </c>
      <c r="N103" s="6">
        <f>UnitsTable[[#This Row],[Occupational Therapist]]*CodeRatesTable[[#This Row],[Occupational Therapist]]</f>
        <v>0</v>
      </c>
      <c r="O103" s="6">
        <f>UnitsTable[[#This Row],[Mental Health Rehab Specialist]]*CodeRatesTable[[#This Row],[Mental Health Rehab Specialist]]</f>
        <v>0</v>
      </c>
      <c r="P103" s="6">
        <f>UnitsTable[[#This Row],[Peer Recovery Specialist]]*CodeRatesTable[[#This Row],[Peer Recovery Specialist]]</f>
        <v>0</v>
      </c>
      <c r="Q103" s="6">
        <f>UnitsTable[[#This Row],[Other Qualified Providers - Other Designated MH staff that bill medical]]*CodeRatesTable[[#This Row],[Other Qualified Providers - Other Designated MH staff that bill medical]]</f>
        <v>0</v>
      </c>
      <c r="R103" s="6">
        <f>SUM(RevenueTable[[#This Row],[Psychiatrist/ Contracted Psychiatrist]:[Other Qualified Providers - Other Designated MH staff that bill medical]])</f>
        <v>0</v>
      </c>
    </row>
    <row r="104" spans="1:18" hidden="1" x14ac:dyDescent="0.25">
      <c r="A104" s="6" t="str">
        <f>INDEX(CodeMinutesTable[Frequently Used],MATCH(RevenueTable[[#This Row],[Billing Code]],CodeMinutesTable[Code],0))</f>
        <v>No</v>
      </c>
      <c r="B104" s="3" t="s">
        <v>242</v>
      </c>
      <c r="C104" t="s">
        <v>243</v>
      </c>
      <c r="D104" s="6">
        <f>UnitsTable[[#This Row],[Psychiatrist/ Contracted Psychiatrist]]*CodeRatesTable[[#This Row],[Psychiatrist/ Contracted Psychiatrist]]</f>
        <v>0</v>
      </c>
      <c r="E104" s="6">
        <f>UnitsTable[[#This Row],[Physicians Assistant]]*CodeRatesTable[[#This Row],[Physicians Assistant]]</f>
        <v>0</v>
      </c>
      <c r="F104" s="6">
        <f>UnitsTable[[#This Row],[Nurse Practitioner]]*CodeRatesTable[[#This Row],[Nurse Practitioner]]</f>
        <v>0</v>
      </c>
      <c r="G104" s="6">
        <f>UnitsTable[[#This Row],[RN]]*CodeRatesTable[[#This Row],[RN]]</f>
        <v>0</v>
      </c>
      <c r="H104" s="6">
        <f>UnitsTable[[#This Row],[Certified Nurse Specialist]]*CodeRatesTable[[#This Row],[Certified Nurse Specialist]]</f>
        <v>0</v>
      </c>
      <c r="I104" s="6">
        <f>UnitsTable[[#This Row],[LVN]]*CodeRatesTable[[#This Row],[LVN]]</f>
        <v>0</v>
      </c>
      <c r="J104" s="6">
        <f>UnitsTable[[#This Row],[Pharmacist]]*CodeRatesTable[[#This Row],[Pharmacist]]</f>
        <v>0</v>
      </c>
      <c r="K104" s="6">
        <f>UnitsTable[[#This Row],[Licensed Psychiatric Technician]]*CodeRatesTable[[#This Row],[Licensed Psychiatric Technician]]</f>
        <v>0</v>
      </c>
      <c r="L104" s="6">
        <f>UnitsTable[[#This Row],[Psychologist/Pre-licensed Psychologist]]*CodeRatesTable[[#This Row],[Psychologist/Pre-licensed Psychologist]]</f>
        <v>0</v>
      </c>
      <c r="M104" s="6">
        <f>UnitsTable[[#This Row],[LPHA (MFT  LCSW  LPCC)/ Intern or Waivered LPHA (MFT  LCSW  LPCC)]]*CodeRatesTable[[#This Row],[LPHA (MFT  LCSW  LPCC)/ Intern or Waivered LPHA (MFT  LCSW  LPCC)]]</f>
        <v>0</v>
      </c>
      <c r="N104" s="6">
        <f>UnitsTable[[#This Row],[Occupational Therapist]]*CodeRatesTable[[#This Row],[Occupational Therapist]]</f>
        <v>0</v>
      </c>
      <c r="O104" s="6">
        <f>UnitsTable[[#This Row],[Mental Health Rehab Specialist]]*CodeRatesTable[[#This Row],[Mental Health Rehab Specialist]]</f>
        <v>0</v>
      </c>
      <c r="P104" s="6">
        <f>UnitsTable[[#This Row],[Peer Recovery Specialist]]*CodeRatesTable[[#This Row],[Peer Recovery Specialist]]</f>
        <v>0</v>
      </c>
      <c r="Q104" s="6">
        <f>UnitsTable[[#This Row],[Other Qualified Providers - Other Designated MH staff that bill medical]]*CodeRatesTable[[#This Row],[Other Qualified Providers - Other Designated MH staff that bill medical]]</f>
        <v>0</v>
      </c>
      <c r="R104" s="6">
        <f>SUM(RevenueTable[[#This Row],[Psychiatrist/ Contracted Psychiatrist]:[Other Qualified Providers - Other Designated MH staff that bill medical]])</f>
        <v>0</v>
      </c>
    </row>
    <row r="105" spans="1:18" hidden="1" x14ac:dyDescent="0.25">
      <c r="A105" s="6" t="str">
        <f>INDEX(CodeMinutesTable[Frequently Used],MATCH(RevenueTable[[#This Row],[Billing Code]],CodeMinutesTable[Code],0))</f>
        <v>No</v>
      </c>
      <c r="B105" s="3" t="s">
        <v>244</v>
      </c>
      <c r="C105" t="s">
        <v>245</v>
      </c>
      <c r="D105" s="6">
        <f>UnitsTable[[#This Row],[Psychiatrist/ Contracted Psychiatrist]]*CodeRatesTable[[#This Row],[Psychiatrist/ Contracted Psychiatrist]]</f>
        <v>0</v>
      </c>
      <c r="E105" s="6">
        <f>UnitsTable[[#This Row],[Physicians Assistant]]*CodeRatesTable[[#This Row],[Physicians Assistant]]</f>
        <v>0</v>
      </c>
      <c r="F105" s="6">
        <f>UnitsTable[[#This Row],[Nurse Practitioner]]*CodeRatesTable[[#This Row],[Nurse Practitioner]]</f>
        <v>0</v>
      </c>
      <c r="G105" s="6">
        <f>UnitsTable[[#This Row],[RN]]*CodeRatesTable[[#This Row],[RN]]</f>
        <v>0</v>
      </c>
      <c r="H105" s="6">
        <f>UnitsTable[[#This Row],[Certified Nurse Specialist]]*CodeRatesTable[[#This Row],[Certified Nurse Specialist]]</f>
        <v>0</v>
      </c>
      <c r="I105" s="6">
        <f>UnitsTable[[#This Row],[LVN]]*CodeRatesTable[[#This Row],[LVN]]</f>
        <v>0</v>
      </c>
      <c r="J105" s="6">
        <f>UnitsTable[[#This Row],[Pharmacist]]*CodeRatesTable[[#This Row],[Pharmacist]]</f>
        <v>0</v>
      </c>
      <c r="K105" s="6">
        <f>UnitsTable[[#This Row],[Licensed Psychiatric Technician]]*CodeRatesTable[[#This Row],[Licensed Psychiatric Technician]]</f>
        <v>0</v>
      </c>
      <c r="L105" s="6">
        <f>UnitsTable[[#This Row],[Psychologist/Pre-licensed Psychologist]]*CodeRatesTable[[#This Row],[Psychologist/Pre-licensed Psychologist]]</f>
        <v>0</v>
      </c>
      <c r="M105" s="6">
        <f>UnitsTable[[#This Row],[LPHA (MFT  LCSW  LPCC)/ Intern or Waivered LPHA (MFT  LCSW  LPCC)]]*CodeRatesTable[[#This Row],[LPHA (MFT  LCSW  LPCC)/ Intern or Waivered LPHA (MFT  LCSW  LPCC)]]</f>
        <v>0</v>
      </c>
      <c r="N105" s="6">
        <f>UnitsTable[[#This Row],[Occupational Therapist]]*CodeRatesTable[[#This Row],[Occupational Therapist]]</f>
        <v>0</v>
      </c>
      <c r="O105" s="6">
        <f>UnitsTable[[#This Row],[Mental Health Rehab Specialist]]*CodeRatesTable[[#This Row],[Mental Health Rehab Specialist]]</f>
        <v>0</v>
      </c>
      <c r="P105" s="6">
        <f>UnitsTable[[#This Row],[Peer Recovery Specialist]]*CodeRatesTable[[#This Row],[Peer Recovery Specialist]]</f>
        <v>0</v>
      </c>
      <c r="Q105" s="6">
        <f>UnitsTable[[#This Row],[Other Qualified Providers - Other Designated MH staff that bill medical]]*CodeRatesTable[[#This Row],[Other Qualified Providers - Other Designated MH staff that bill medical]]</f>
        <v>0</v>
      </c>
      <c r="R105" s="6">
        <f>SUM(RevenueTable[[#This Row],[Psychiatrist/ Contracted Psychiatrist]:[Other Qualified Providers - Other Designated MH staff that bill medical]])</f>
        <v>0</v>
      </c>
    </row>
    <row r="106" spans="1:18" hidden="1" x14ac:dyDescent="0.25">
      <c r="A106" s="6" t="str">
        <f>INDEX(CodeMinutesTable[Frequently Used],MATCH(RevenueTable[[#This Row],[Billing Code]],CodeMinutesTable[Code],0))</f>
        <v>No</v>
      </c>
      <c r="B106" s="3" t="s">
        <v>246</v>
      </c>
      <c r="C106" t="s">
        <v>247</v>
      </c>
      <c r="D106" s="6">
        <f>UnitsTable[[#This Row],[Psychiatrist/ Contracted Psychiatrist]]*CodeRatesTable[[#This Row],[Psychiatrist/ Contracted Psychiatrist]]</f>
        <v>0</v>
      </c>
      <c r="E106" s="6">
        <f>UnitsTable[[#This Row],[Physicians Assistant]]*CodeRatesTable[[#This Row],[Physicians Assistant]]</f>
        <v>0</v>
      </c>
      <c r="F106" s="6">
        <f>UnitsTable[[#This Row],[Nurse Practitioner]]*CodeRatesTable[[#This Row],[Nurse Practitioner]]</f>
        <v>0</v>
      </c>
      <c r="G106" s="6">
        <f>UnitsTable[[#This Row],[RN]]*CodeRatesTable[[#This Row],[RN]]</f>
        <v>0</v>
      </c>
      <c r="H106" s="6">
        <f>UnitsTable[[#This Row],[Certified Nurse Specialist]]*CodeRatesTable[[#This Row],[Certified Nurse Specialist]]</f>
        <v>0</v>
      </c>
      <c r="I106" s="6">
        <f>UnitsTable[[#This Row],[LVN]]*CodeRatesTable[[#This Row],[LVN]]</f>
        <v>0</v>
      </c>
      <c r="J106" s="6">
        <f>UnitsTable[[#This Row],[Pharmacist]]*CodeRatesTable[[#This Row],[Pharmacist]]</f>
        <v>0</v>
      </c>
      <c r="K106" s="6">
        <f>UnitsTable[[#This Row],[Licensed Psychiatric Technician]]*CodeRatesTable[[#This Row],[Licensed Psychiatric Technician]]</f>
        <v>0</v>
      </c>
      <c r="L106" s="6">
        <f>UnitsTable[[#This Row],[Psychologist/Pre-licensed Psychologist]]*CodeRatesTable[[#This Row],[Psychologist/Pre-licensed Psychologist]]</f>
        <v>0</v>
      </c>
      <c r="M106" s="6">
        <f>UnitsTable[[#This Row],[LPHA (MFT  LCSW  LPCC)/ Intern or Waivered LPHA (MFT  LCSW  LPCC)]]*CodeRatesTable[[#This Row],[LPHA (MFT  LCSW  LPCC)/ Intern or Waivered LPHA (MFT  LCSW  LPCC)]]</f>
        <v>0</v>
      </c>
      <c r="N106" s="6">
        <f>UnitsTable[[#This Row],[Occupational Therapist]]*CodeRatesTable[[#This Row],[Occupational Therapist]]</f>
        <v>0</v>
      </c>
      <c r="O106" s="6">
        <f>UnitsTable[[#This Row],[Mental Health Rehab Specialist]]*CodeRatesTable[[#This Row],[Mental Health Rehab Specialist]]</f>
        <v>0</v>
      </c>
      <c r="P106" s="6">
        <f>UnitsTable[[#This Row],[Peer Recovery Specialist]]*CodeRatesTable[[#This Row],[Peer Recovery Specialist]]</f>
        <v>0</v>
      </c>
      <c r="Q106" s="6">
        <f>UnitsTable[[#This Row],[Other Qualified Providers - Other Designated MH staff that bill medical]]*CodeRatesTable[[#This Row],[Other Qualified Providers - Other Designated MH staff that bill medical]]</f>
        <v>0</v>
      </c>
      <c r="R106" s="6">
        <f>SUM(RevenueTable[[#This Row],[Psychiatrist/ Contracted Psychiatrist]:[Other Qualified Providers - Other Designated MH staff that bill medical]])</f>
        <v>0</v>
      </c>
    </row>
    <row r="107" spans="1:18" hidden="1" x14ac:dyDescent="0.25">
      <c r="A107" s="6" t="str">
        <f>INDEX(CodeMinutesTable[Frequently Used],MATCH(RevenueTable[[#This Row],[Billing Code]],CodeMinutesTable[Code],0))</f>
        <v>No</v>
      </c>
      <c r="B107" s="3" t="s">
        <v>248</v>
      </c>
      <c r="C107" t="s">
        <v>249</v>
      </c>
      <c r="D107" s="6">
        <f>UnitsTable[[#This Row],[Psychiatrist/ Contracted Psychiatrist]]*CodeRatesTable[[#This Row],[Psychiatrist/ Contracted Psychiatrist]]</f>
        <v>0</v>
      </c>
      <c r="E107" s="6">
        <f>UnitsTable[[#This Row],[Physicians Assistant]]*CodeRatesTable[[#This Row],[Physicians Assistant]]</f>
        <v>0</v>
      </c>
      <c r="F107" s="6">
        <f>UnitsTable[[#This Row],[Nurse Practitioner]]*CodeRatesTable[[#This Row],[Nurse Practitioner]]</f>
        <v>0</v>
      </c>
      <c r="G107" s="6">
        <f>UnitsTable[[#This Row],[RN]]*CodeRatesTable[[#This Row],[RN]]</f>
        <v>0</v>
      </c>
      <c r="H107" s="6">
        <f>UnitsTable[[#This Row],[Certified Nurse Specialist]]*CodeRatesTable[[#This Row],[Certified Nurse Specialist]]</f>
        <v>0</v>
      </c>
      <c r="I107" s="6">
        <f>UnitsTable[[#This Row],[LVN]]*CodeRatesTable[[#This Row],[LVN]]</f>
        <v>0</v>
      </c>
      <c r="J107" s="6">
        <f>UnitsTable[[#This Row],[Pharmacist]]*CodeRatesTable[[#This Row],[Pharmacist]]</f>
        <v>0</v>
      </c>
      <c r="K107" s="6">
        <f>UnitsTable[[#This Row],[Licensed Psychiatric Technician]]*CodeRatesTable[[#This Row],[Licensed Psychiatric Technician]]</f>
        <v>0</v>
      </c>
      <c r="L107" s="6">
        <f>UnitsTable[[#This Row],[Psychologist/Pre-licensed Psychologist]]*CodeRatesTable[[#This Row],[Psychologist/Pre-licensed Psychologist]]</f>
        <v>0</v>
      </c>
      <c r="M107" s="6">
        <f>UnitsTable[[#This Row],[LPHA (MFT  LCSW  LPCC)/ Intern or Waivered LPHA (MFT  LCSW  LPCC)]]*CodeRatesTable[[#This Row],[LPHA (MFT  LCSW  LPCC)/ Intern or Waivered LPHA (MFT  LCSW  LPCC)]]</f>
        <v>0</v>
      </c>
      <c r="N107" s="6">
        <f>UnitsTable[[#This Row],[Occupational Therapist]]*CodeRatesTable[[#This Row],[Occupational Therapist]]</f>
        <v>0</v>
      </c>
      <c r="O107" s="6">
        <f>UnitsTable[[#This Row],[Mental Health Rehab Specialist]]*CodeRatesTable[[#This Row],[Mental Health Rehab Specialist]]</f>
        <v>0</v>
      </c>
      <c r="P107" s="6">
        <f>UnitsTable[[#This Row],[Peer Recovery Specialist]]*CodeRatesTable[[#This Row],[Peer Recovery Specialist]]</f>
        <v>0</v>
      </c>
      <c r="Q107" s="6">
        <f>UnitsTable[[#This Row],[Other Qualified Providers - Other Designated MH staff that bill medical]]*CodeRatesTable[[#This Row],[Other Qualified Providers - Other Designated MH staff that bill medical]]</f>
        <v>0</v>
      </c>
      <c r="R107" s="6">
        <f>SUM(RevenueTable[[#This Row],[Psychiatrist/ Contracted Psychiatrist]:[Other Qualified Providers - Other Designated MH staff that bill medical]])</f>
        <v>0</v>
      </c>
    </row>
    <row r="108" spans="1:18" hidden="1" x14ac:dyDescent="0.25">
      <c r="A108" s="6" t="str">
        <f>INDEX(CodeMinutesTable[Frequently Used],MATCH(RevenueTable[[#This Row],[Billing Code]],CodeMinutesTable[Code],0))</f>
        <v>No</v>
      </c>
      <c r="B108" s="3" t="s">
        <v>250</v>
      </c>
      <c r="C108" t="s">
        <v>251</v>
      </c>
      <c r="D108" s="6">
        <f>UnitsTable[[#This Row],[Psychiatrist/ Contracted Psychiatrist]]*CodeRatesTable[[#This Row],[Psychiatrist/ Contracted Psychiatrist]]</f>
        <v>0</v>
      </c>
      <c r="E108" s="6">
        <f>UnitsTable[[#This Row],[Physicians Assistant]]*CodeRatesTable[[#This Row],[Physicians Assistant]]</f>
        <v>0</v>
      </c>
      <c r="F108" s="6">
        <f>UnitsTable[[#This Row],[Nurse Practitioner]]*CodeRatesTable[[#This Row],[Nurse Practitioner]]</f>
        <v>0</v>
      </c>
      <c r="G108" s="6">
        <f>UnitsTable[[#This Row],[RN]]*CodeRatesTable[[#This Row],[RN]]</f>
        <v>0</v>
      </c>
      <c r="H108" s="6">
        <f>UnitsTable[[#This Row],[Certified Nurse Specialist]]*CodeRatesTable[[#This Row],[Certified Nurse Specialist]]</f>
        <v>0</v>
      </c>
      <c r="I108" s="6">
        <f>UnitsTable[[#This Row],[LVN]]*CodeRatesTable[[#This Row],[LVN]]</f>
        <v>0</v>
      </c>
      <c r="J108" s="6">
        <f>UnitsTable[[#This Row],[Pharmacist]]*CodeRatesTable[[#This Row],[Pharmacist]]</f>
        <v>0</v>
      </c>
      <c r="K108" s="6">
        <f>UnitsTable[[#This Row],[Licensed Psychiatric Technician]]*CodeRatesTable[[#This Row],[Licensed Psychiatric Technician]]</f>
        <v>0</v>
      </c>
      <c r="L108" s="6">
        <f>UnitsTable[[#This Row],[Psychologist/Pre-licensed Psychologist]]*CodeRatesTable[[#This Row],[Psychologist/Pre-licensed Psychologist]]</f>
        <v>0</v>
      </c>
      <c r="M108" s="6">
        <f>UnitsTable[[#This Row],[LPHA (MFT  LCSW  LPCC)/ Intern or Waivered LPHA (MFT  LCSW  LPCC)]]*CodeRatesTable[[#This Row],[LPHA (MFT  LCSW  LPCC)/ Intern or Waivered LPHA (MFT  LCSW  LPCC)]]</f>
        <v>0</v>
      </c>
      <c r="N108" s="6">
        <f>UnitsTable[[#This Row],[Occupational Therapist]]*CodeRatesTable[[#This Row],[Occupational Therapist]]</f>
        <v>0</v>
      </c>
      <c r="O108" s="6">
        <f>UnitsTable[[#This Row],[Mental Health Rehab Specialist]]*CodeRatesTable[[#This Row],[Mental Health Rehab Specialist]]</f>
        <v>0</v>
      </c>
      <c r="P108" s="6">
        <f>UnitsTable[[#This Row],[Peer Recovery Specialist]]*CodeRatesTable[[#This Row],[Peer Recovery Specialist]]</f>
        <v>0</v>
      </c>
      <c r="Q108" s="6">
        <f>UnitsTable[[#This Row],[Other Qualified Providers - Other Designated MH staff that bill medical]]*CodeRatesTable[[#This Row],[Other Qualified Providers - Other Designated MH staff that bill medical]]</f>
        <v>0</v>
      </c>
      <c r="R108" s="6">
        <f>SUM(RevenueTable[[#This Row],[Psychiatrist/ Contracted Psychiatrist]:[Other Qualified Providers - Other Designated MH staff that bill medical]])</f>
        <v>0</v>
      </c>
    </row>
    <row r="109" spans="1:18" hidden="1" x14ac:dyDescent="0.25">
      <c r="A109" s="6" t="str">
        <f>INDEX(CodeMinutesTable[Frequently Used],MATCH(RevenueTable[[#This Row],[Billing Code]],CodeMinutesTable[Code],0))</f>
        <v>No</v>
      </c>
      <c r="B109" s="3" t="s">
        <v>252</v>
      </c>
      <c r="C109" t="s">
        <v>253</v>
      </c>
      <c r="D109" s="6">
        <f>UnitsTable[[#This Row],[Psychiatrist/ Contracted Psychiatrist]]*CodeRatesTable[[#This Row],[Psychiatrist/ Contracted Psychiatrist]]</f>
        <v>0</v>
      </c>
      <c r="E109" s="6">
        <f>UnitsTable[[#This Row],[Physicians Assistant]]*CodeRatesTable[[#This Row],[Physicians Assistant]]</f>
        <v>0</v>
      </c>
      <c r="F109" s="6">
        <f>UnitsTable[[#This Row],[Nurse Practitioner]]*CodeRatesTable[[#This Row],[Nurse Practitioner]]</f>
        <v>0</v>
      </c>
      <c r="G109" s="6">
        <f>UnitsTable[[#This Row],[RN]]*CodeRatesTable[[#This Row],[RN]]</f>
        <v>0</v>
      </c>
      <c r="H109" s="6">
        <f>UnitsTable[[#This Row],[Certified Nurse Specialist]]*CodeRatesTable[[#This Row],[Certified Nurse Specialist]]</f>
        <v>0</v>
      </c>
      <c r="I109" s="6">
        <f>UnitsTable[[#This Row],[LVN]]*CodeRatesTable[[#This Row],[LVN]]</f>
        <v>0</v>
      </c>
      <c r="J109" s="6">
        <f>UnitsTable[[#This Row],[Pharmacist]]*CodeRatesTable[[#This Row],[Pharmacist]]</f>
        <v>0</v>
      </c>
      <c r="K109" s="6">
        <f>UnitsTable[[#This Row],[Licensed Psychiatric Technician]]*CodeRatesTable[[#This Row],[Licensed Psychiatric Technician]]</f>
        <v>0</v>
      </c>
      <c r="L109" s="6">
        <f>UnitsTable[[#This Row],[Psychologist/Pre-licensed Psychologist]]*CodeRatesTable[[#This Row],[Psychologist/Pre-licensed Psychologist]]</f>
        <v>0</v>
      </c>
      <c r="M109" s="6">
        <f>UnitsTable[[#This Row],[LPHA (MFT  LCSW  LPCC)/ Intern or Waivered LPHA (MFT  LCSW  LPCC)]]*CodeRatesTable[[#This Row],[LPHA (MFT  LCSW  LPCC)/ Intern or Waivered LPHA (MFT  LCSW  LPCC)]]</f>
        <v>0</v>
      </c>
      <c r="N109" s="6">
        <f>UnitsTable[[#This Row],[Occupational Therapist]]*CodeRatesTable[[#This Row],[Occupational Therapist]]</f>
        <v>0</v>
      </c>
      <c r="O109" s="6">
        <f>UnitsTable[[#This Row],[Mental Health Rehab Specialist]]*CodeRatesTable[[#This Row],[Mental Health Rehab Specialist]]</f>
        <v>0</v>
      </c>
      <c r="P109" s="6">
        <f>UnitsTable[[#This Row],[Peer Recovery Specialist]]*CodeRatesTable[[#This Row],[Peer Recovery Specialist]]</f>
        <v>0</v>
      </c>
      <c r="Q109" s="6">
        <f>UnitsTable[[#This Row],[Other Qualified Providers - Other Designated MH staff that bill medical]]*CodeRatesTable[[#This Row],[Other Qualified Providers - Other Designated MH staff that bill medical]]</f>
        <v>0</v>
      </c>
      <c r="R109" s="6">
        <f>SUM(RevenueTable[[#This Row],[Psychiatrist/ Contracted Psychiatrist]:[Other Qualified Providers - Other Designated MH staff that bill medical]])</f>
        <v>0</v>
      </c>
    </row>
    <row r="110" spans="1:18" hidden="1" x14ac:dyDescent="0.25">
      <c r="A110" s="6" t="str">
        <f>INDEX(CodeMinutesTable[Frequently Used],MATCH(RevenueTable[[#This Row],[Billing Code]],CodeMinutesTable[Code],0))</f>
        <v>No</v>
      </c>
      <c r="B110" s="3" t="s">
        <v>254</v>
      </c>
      <c r="C110" t="s">
        <v>255</v>
      </c>
      <c r="D110" s="6">
        <f>UnitsTable[[#This Row],[Psychiatrist/ Contracted Psychiatrist]]*CodeRatesTable[[#This Row],[Psychiatrist/ Contracted Psychiatrist]]</f>
        <v>0</v>
      </c>
      <c r="E110" s="6">
        <f>UnitsTable[[#This Row],[Physicians Assistant]]*CodeRatesTable[[#This Row],[Physicians Assistant]]</f>
        <v>0</v>
      </c>
      <c r="F110" s="6">
        <f>UnitsTable[[#This Row],[Nurse Practitioner]]*CodeRatesTable[[#This Row],[Nurse Practitioner]]</f>
        <v>0</v>
      </c>
      <c r="G110" s="6">
        <f>UnitsTable[[#This Row],[RN]]*CodeRatesTable[[#This Row],[RN]]</f>
        <v>0</v>
      </c>
      <c r="H110" s="6">
        <f>UnitsTable[[#This Row],[Certified Nurse Specialist]]*CodeRatesTable[[#This Row],[Certified Nurse Specialist]]</f>
        <v>0</v>
      </c>
      <c r="I110" s="6">
        <f>UnitsTable[[#This Row],[LVN]]*CodeRatesTable[[#This Row],[LVN]]</f>
        <v>0</v>
      </c>
      <c r="J110" s="6">
        <f>UnitsTable[[#This Row],[Pharmacist]]*CodeRatesTable[[#This Row],[Pharmacist]]</f>
        <v>0</v>
      </c>
      <c r="K110" s="6">
        <f>UnitsTable[[#This Row],[Licensed Psychiatric Technician]]*CodeRatesTable[[#This Row],[Licensed Psychiatric Technician]]</f>
        <v>0</v>
      </c>
      <c r="L110" s="6">
        <f>UnitsTable[[#This Row],[Psychologist/Pre-licensed Psychologist]]*CodeRatesTable[[#This Row],[Psychologist/Pre-licensed Psychologist]]</f>
        <v>0</v>
      </c>
      <c r="M110" s="6">
        <f>UnitsTable[[#This Row],[LPHA (MFT  LCSW  LPCC)/ Intern or Waivered LPHA (MFT  LCSW  LPCC)]]*CodeRatesTable[[#This Row],[LPHA (MFT  LCSW  LPCC)/ Intern or Waivered LPHA (MFT  LCSW  LPCC)]]</f>
        <v>0</v>
      </c>
      <c r="N110" s="6">
        <f>UnitsTable[[#This Row],[Occupational Therapist]]*CodeRatesTable[[#This Row],[Occupational Therapist]]</f>
        <v>0</v>
      </c>
      <c r="O110" s="6">
        <f>UnitsTable[[#This Row],[Mental Health Rehab Specialist]]*CodeRatesTable[[#This Row],[Mental Health Rehab Specialist]]</f>
        <v>0</v>
      </c>
      <c r="P110" s="6">
        <f>UnitsTable[[#This Row],[Peer Recovery Specialist]]*CodeRatesTable[[#This Row],[Peer Recovery Specialist]]</f>
        <v>0</v>
      </c>
      <c r="Q110" s="6">
        <f>UnitsTable[[#This Row],[Other Qualified Providers - Other Designated MH staff that bill medical]]*CodeRatesTable[[#This Row],[Other Qualified Providers - Other Designated MH staff that bill medical]]</f>
        <v>0</v>
      </c>
      <c r="R110" s="6">
        <f>SUM(RevenueTable[[#This Row],[Psychiatrist/ Contracted Psychiatrist]:[Other Qualified Providers - Other Designated MH staff that bill medical]])</f>
        <v>0</v>
      </c>
    </row>
    <row r="111" spans="1:18" hidden="1" x14ac:dyDescent="0.25">
      <c r="A111" s="6" t="str">
        <f>INDEX(CodeMinutesTable[Frequently Used],MATCH(RevenueTable[[#This Row],[Billing Code]],CodeMinutesTable[Code],0))</f>
        <v>No</v>
      </c>
      <c r="B111" s="3" t="s">
        <v>256</v>
      </c>
      <c r="C111" t="s">
        <v>257</v>
      </c>
      <c r="D111" s="6">
        <f>UnitsTable[[#This Row],[Psychiatrist/ Contracted Psychiatrist]]*CodeRatesTable[[#This Row],[Psychiatrist/ Contracted Psychiatrist]]</f>
        <v>0</v>
      </c>
      <c r="E111" s="6">
        <f>UnitsTable[[#This Row],[Physicians Assistant]]*CodeRatesTable[[#This Row],[Physicians Assistant]]</f>
        <v>0</v>
      </c>
      <c r="F111" s="6">
        <f>UnitsTable[[#This Row],[Nurse Practitioner]]*CodeRatesTable[[#This Row],[Nurse Practitioner]]</f>
        <v>0</v>
      </c>
      <c r="G111" s="6">
        <f>UnitsTable[[#This Row],[RN]]*CodeRatesTable[[#This Row],[RN]]</f>
        <v>0</v>
      </c>
      <c r="H111" s="6">
        <f>UnitsTable[[#This Row],[Certified Nurse Specialist]]*CodeRatesTable[[#This Row],[Certified Nurse Specialist]]</f>
        <v>0</v>
      </c>
      <c r="I111" s="6">
        <f>UnitsTable[[#This Row],[LVN]]*CodeRatesTable[[#This Row],[LVN]]</f>
        <v>0</v>
      </c>
      <c r="J111" s="6">
        <f>UnitsTable[[#This Row],[Pharmacist]]*CodeRatesTable[[#This Row],[Pharmacist]]</f>
        <v>0</v>
      </c>
      <c r="K111" s="6">
        <f>UnitsTable[[#This Row],[Licensed Psychiatric Technician]]*CodeRatesTable[[#This Row],[Licensed Psychiatric Technician]]</f>
        <v>0</v>
      </c>
      <c r="L111" s="6">
        <f>UnitsTable[[#This Row],[Psychologist/Pre-licensed Psychologist]]*CodeRatesTable[[#This Row],[Psychologist/Pre-licensed Psychologist]]</f>
        <v>0</v>
      </c>
      <c r="M111" s="6">
        <f>UnitsTable[[#This Row],[LPHA (MFT  LCSW  LPCC)/ Intern or Waivered LPHA (MFT  LCSW  LPCC)]]*CodeRatesTable[[#This Row],[LPHA (MFT  LCSW  LPCC)/ Intern or Waivered LPHA (MFT  LCSW  LPCC)]]</f>
        <v>0</v>
      </c>
      <c r="N111" s="6">
        <f>UnitsTable[[#This Row],[Occupational Therapist]]*CodeRatesTable[[#This Row],[Occupational Therapist]]</f>
        <v>0</v>
      </c>
      <c r="O111" s="6">
        <f>UnitsTable[[#This Row],[Mental Health Rehab Specialist]]*CodeRatesTable[[#This Row],[Mental Health Rehab Specialist]]</f>
        <v>0</v>
      </c>
      <c r="P111" s="6">
        <f>UnitsTable[[#This Row],[Peer Recovery Specialist]]*CodeRatesTable[[#This Row],[Peer Recovery Specialist]]</f>
        <v>0</v>
      </c>
      <c r="Q111" s="6">
        <f>UnitsTable[[#This Row],[Other Qualified Providers - Other Designated MH staff that bill medical]]*CodeRatesTable[[#This Row],[Other Qualified Providers - Other Designated MH staff that bill medical]]</f>
        <v>0</v>
      </c>
      <c r="R111" s="6">
        <f>SUM(RevenueTable[[#This Row],[Psychiatrist/ Contracted Psychiatrist]:[Other Qualified Providers - Other Designated MH staff that bill medical]])</f>
        <v>0</v>
      </c>
    </row>
    <row r="112" spans="1:18" hidden="1" x14ac:dyDescent="0.25">
      <c r="A112" s="6" t="str">
        <f>INDEX(CodeMinutesTable[Frequently Used],MATCH(RevenueTable[[#This Row],[Billing Code]],CodeMinutesTable[Code],0))</f>
        <v>No</v>
      </c>
      <c r="B112" s="3" t="s">
        <v>258</v>
      </c>
      <c r="C112" t="s">
        <v>259</v>
      </c>
      <c r="D112" s="6">
        <f>UnitsTable[[#This Row],[Psychiatrist/ Contracted Psychiatrist]]*CodeRatesTable[[#This Row],[Psychiatrist/ Contracted Psychiatrist]]</f>
        <v>0</v>
      </c>
      <c r="E112" s="6">
        <f>UnitsTable[[#This Row],[Physicians Assistant]]*CodeRatesTable[[#This Row],[Physicians Assistant]]</f>
        <v>0</v>
      </c>
      <c r="F112" s="6">
        <f>UnitsTable[[#This Row],[Nurse Practitioner]]*CodeRatesTable[[#This Row],[Nurse Practitioner]]</f>
        <v>0</v>
      </c>
      <c r="G112" s="6">
        <f>UnitsTable[[#This Row],[RN]]*CodeRatesTable[[#This Row],[RN]]</f>
        <v>0</v>
      </c>
      <c r="H112" s="6">
        <f>UnitsTable[[#This Row],[Certified Nurse Specialist]]*CodeRatesTable[[#This Row],[Certified Nurse Specialist]]</f>
        <v>0</v>
      </c>
      <c r="I112" s="6">
        <f>UnitsTable[[#This Row],[LVN]]*CodeRatesTable[[#This Row],[LVN]]</f>
        <v>0</v>
      </c>
      <c r="J112" s="6">
        <f>UnitsTable[[#This Row],[Pharmacist]]*CodeRatesTable[[#This Row],[Pharmacist]]</f>
        <v>0</v>
      </c>
      <c r="K112" s="6">
        <f>UnitsTable[[#This Row],[Licensed Psychiatric Technician]]*CodeRatesTable[[#This Row],[Licensed Psychiatric Technician]]</f>
        <v>0</v>
      </c>
      <c r="L112" s="6">
        <f>UnitsTable[[#This Row],[Psychologist/Pre-licensed Psychologist]]*CodeRatesTable[[#This Row],[Psychologist/Pre-licensed Psychologist]]</f>
        <v>0</v>
      </c>
      <c r="M112" s="6">
        <f>UnitsTable[[#This Row],[LPHA (MFT  LCSW  LPCC)/ Intern or Waivered LPHA (MFT  LCSW  LPCC)]]*CodeRatesTable[[#This Row],[LPHA (MFT  LCSW  LPCC)/ Intern or Waivered LPHA (MFT  LCSW  LPCC)]]</f>
        <v>0</v>
      </c>
      <c r="N112" s="6">
        <f>UnitsTable[[#This Row],[Occupational Therapist]]*CodeRatesTable[[#This Row],[Occupational Therapist]]</f>
        <v>0</v>
      </c>
      <c r="O112" s="6">
        <f>UnitsTable[[#This Row],[Mental Health Rehab Specialist]]*CodeRatesTable[[#This Row],[Mental Health Rehab Specialist]]</f>
        <v>0</v>
      </c>
      <c r="P112" s="6">
        <f>UnitsTable[[#This Row],[Peer Recovery Specialist]]*CodeRatesTable[[#This Row],[Peer Recovery Specialist]]</f>
        <v>0</v>
      </c>
      <c r="Q112" s="6">
        <f>UnitsTable[[#This Row],[Other Qualified Providers - Other Designated MH staff that bill medical]]*CodeRatesTable[[#This Row],[Other Qualified Providers - Other Designated MH staff that bill medical]]</f>
        <v>0</v>
      </c>
      <c r="R112" s="6">
        <f>SUM(RevenueTable[[#This Row],[Psychiatrist/ Contracted Psychiatrist]:[Other Qualified Providers - Other Designated MH staff that bill medical]])</f>
        <v>0</v>
      </c>
    </row>
    <row r="113" spans="1:18" hidden="1" x14ac:dyDescent="0.25">
      <c r="A113" s="6" t="str">
        <f>INDEX(CodeMinutesTable[Frequently Used],MATCH(RevenueTable[[#This Row],[Billing Code]],CodeMinutesTable[Code],0))</f>
        <v>No</v>
      </c>
      <c r="B113" s="3" t="s">
        <v>260</v>
      </c>
      <c r="C113" t="s">
        <v>261</v>
      </c>
      <c r="D113" s="6">
        <f>UnitsTable[[#This Row],[Psychiatrist/ Contracted Psychiatrist]]*CodeRatesTable[[#This Row],[Psychiatrist/ Contracted Psychiatrist]]</f>
        <v>0</v>
      </c>
      <c r="E113" s="6">
        <f>UnitsTable[[#This Row],[Physicians Assistant]]*CodeRatesTable[[#This Row],[Physicians Assistant]]</f>
        <v>0</v>
      </c>
      <c r="F113" s="6">
        <f>UnitsTable[[#This Row],[Nurse Practitioner]]*CodeRatesTable[[#This Row],[Nurse Practitioner]]</f>
        <v>0</v>
      </c>
      <c r="G113" s="6">
        <f>UnitsTable[[#This Row],[RN]]*CodeRatesTable[[#This Row],[RN]]</f>
        <v>0</v>
      </c>
      <c r="H113" s="6">
        <f>UnitsTable[[#This Row],[Certified Nurse Specialist]]*CodeRatesTable[[#This Row],[Certified Nurse Specialist]]</f>
        <v>0</v>
      </c>
      <c r="I113" s="6">
        <f>UnitsTable[[#This Row],[LVN]]*CodeRatesTable[[#This Row],[LVN]]</f>
        <v>0</v>
      </c>
      <c r="J113" s="6">
        <f>UnitsTable[[#This Row],[Pharmacist]]*CodeRatesTable[[#This Row],[Pharmacist]]</f>
        <v>0</v>
      </c>
      <c r="K113" s="6">
        <f>UnitsTable[[#This Row],[Licensed Psychiatric Technician]]*CodeRatesTable[[#This Row],[Licensed Psychiatric Technician]]</f>
        <v>0</v>
      </c>
      <c r="L113" s="6">
        <f>UnitsTable[[#This Row],[Psychologist/Pre-licensed Psychologist]]*CodeRatesTable[[#This Row],[Psychologist/Pre-licensed Psychologist]]</f>
        <v>0</v>
      </c>
      <c r="M113" s="6">
        <f>UnitsTable[[#This Row],[LPHA (MFT  LCSW  LPCC)/ Intern or Waivered LPHA (MFT  LCSW  LPCC)]]*CodeRatesTable[[#This Row],[LPHA (MFT  LCSW  LPCC)/ Intern or Waivered LPHA (MFT  LCSW  LPCC)]]</f>
        <v>0</v>
      </c>
      <c r="N113" s="6">
        <f>UnitsTable[[#This Row],[Occupational Therapist]]*CodeRatesTable[[#This Row],[Occupational Therapist]]</f>
        <v>0</v>
      </c>
      <c r="O113" s="6">
        <f>UnitsTable[[#This Row],[Mental Health Rehab Specialist]]*CodeRatesTable[[#This Row],[Mental Health Rehab Specialist]]</f>
        <v>0</v>
      </c>
      <c r="P113" s="6">
        <f>UnitsTable[[#This Row],[Peer Recovery Specialist]]*CodeRatesTable[[#This Row],[Peer Recovery Specialist]]</f>
        <v>0</v>
      </c>
      <c r="Q113" s="6">
        <f>UnitsTable[[#This Row],[Other Qualified Providers - Other Designated MH staff that bill medical]]*CodeRatesTable[[#This Row],[Other Qualified Providers - Other Designated MH staff that bill medical]]</f>
        <v>0</v>
      </c>
      <c r="R113" s="6">
        <f>SUM(RevenueTable[[#This Row],[Psychiatrist/ Contracted Psychiatrist]:[Other Qualified Providers - Other Designated MH staff that bill medical]])</f>
        <v>0</v>
      </c>
    </row>
    <row r="114" spans="1:18" hidden="1" x14ac:dyDescent="0.25">
      <c r="A114" s="6" t="str">
        <f>INDEX(CodeMinutesTable[Frequently Used],MATCH(RevenueTable[[#This Row],[Billing Code]],CodeMinutesTable[Code],0))</f>
        <v>No</v>
      </c>
      <c r="B114" s="3" t="s">
        <v>262</v>
      </c>
      <c r="C114" t="s">
        <v>263</v>
      </c>
      <c r="D114" s="6">
        <f>UnitsTable[[#This Row],[Psychiatrist/ Contracted Psychiatrist]]*CodeRatesTable[[#This Row],[Psychiatrist/ Contracted Psychiatrist]]</f>
        <v>0</v>
      </c>
      <c r="E114" s="6">
        <f>UnitsTable[[#This Row],[Physicians Assistant]]*CodeRatesTable[[#This Row],[Physicians Assistant]]</f>
        <v>0</v>
      </c>
      <c r="F114" s="6">
        <f>UnitsTable[[#This Row],[Nurse Practitioner]]*CodeRatesTable[[#This Row],[Nurse Practitioner]]</f>
        <v>0</v>
      </c>
      <c r="G114" s="6">
        <f>UnitsTable[[#This Row],[RN]]*CodeRatesTable[[#This Row],[RN]]</f>
        <v>0</v>
      </c>
      <c r="H114" s="6">
        <f>UnitsTable[[#This Row],[Certified Nurse Specialist]]*CodeRatesTable[[#This Row],[Certified Nurse Specialist]]</f>
        <v>0</v>
      </c>
      <c r="I114" s="6">
        <f>UnitsTable[[#This Row],[LVN]]*CodeRatesTable[[#This Row],[LVN]]</f>
        <v>0</v>
      </c>
      <c r="J114" s="6">
        <f>UnitsTable[[#This Row],[Pharmacist]]*CodeRatesTable[[#This Row],[Pharmacist]]</f>
        <v>0</v>
      </c>
      <c r="K114" s="6">
        <f>UnitsTable[[#This Row],[Licensed Psychiatric Technician]]*CodeRatesTable[[#This Row],[Licensed Psychiatric Technician]]</f>
        <v>0</v>
      </c>
      <c r="L114" s="6">
        <f>UnitsTable[[#This Row],[Psychologist/Pre-licensed Psychologist]]*CodeRatesTable[[#This Row],[Psychologist/Pre-licensed Psychologist]]</f>
        <v>0</v>
      </c>
      <c r="M114" s="6">
        <f>UnitsTable[[#This Row],[LPHA (MFT  LCSW  LPCC)/ Intern or Waivered LPHA (MFT  LCSW  LPCC)]]*CodeRatesTable[[#This Row],[LPHA (MFT  LCSW  LPCC)/ Intern or Waivered LPHA (MFT  LCSW  LPCC)]]</f>
        <v>0</v>
      </c>
      <c r="N114" s="6">
        <f>UnitsTable[[#This Row],[Occupational Therapist]]*CodeRatesTable[[#This Row],[Occupational Therapist]]</f>
        <v>0</v>
      </c>
      <c r="O114" s="6">
        <f>UnitsTable[[#This Row],[Mental Health Rehab Specialist]]*CodeRatesTable[[#This Row],[Mental Health Rehab Specialist]]</f>
        <v>0</v>
      </c>
      <c r="P114" s="6">
        <f>UnitsTable[[#This Row],[Peer Recovery Specialist]]*CodeRatesTable[[#This Row],[Peer Recovery Specialist]]</f>
        <v>0</v>
      </c>
      <c r="Q114" s="6">
        <f>UnitsTable[[#This Row],[Other Qualified Providers - Other Designated MH staff that bill medical]]*CodeRatesTable[[#This Row],[Other Qualified Providers - Other Designated MH staff that bill medical]]</f>
        <v>0</v>
      </c>
      <c r="R114" s="6">
        <f>SUM(RevenueTable[[#This Row],[Psychiatrist/ Contracted Psychiatrist]:[Other Qualified Providers - Other Designated MH staff that bill medical]])</f>
        <v>0</v>
      </c>
    </row>
    <row r="115" spans="1:18" hidden="1" x14ac:dyDescent="0.25">
      <c r="A115" s="6" t="str">
        <f>INDEX(CodeMinutesTable[Frequently Used],MATCH(RevenueTable[[#This Row],[Billing Code]],CodeMinutesTable[Code],0))</f>
        <v>No</v>
      </c>
      <c r="B115" s="3" t="s">
        <v>264</v>
      </c>
      <c r="C115" t="s">
        <v>265</v>
      </c>
      <c r="D115" s="6">
        <f>UnitsTable[[#This Row],[Psychiatrist/ Contracted Psychiatrist]]*CodeRatesTable[[#This Row],[Psychiatrist/ Contracted Psychiatrist]]</f>
        <v>0</v>
      </c>
      <c r="E115" s="6">
        <f>UnitsTable[[#This Row],[Physicians Assistant]]*CodeRatesTable[[#This Row],[Physicians Assistant]]</f>
        <v>0</v>
      </c>
      <c r="F115" s="6">
        <f>UnitsTable[[#This Row],[Nurse Practitioner]]*CodeRatesTable[[#This Row],[Nurse Practitioner]]</f>
        <v>0</v>
      </c>
      <c r="G115" s="6">
        <f>UnitsTable[[#This Row],[RN]]*CodeRatesTable[[#This Row],[RN]]</f>
        <v>0</v>
      </c>
      <c r="H115" s="6">
        <f>UnitsTable[[#This Row],[Certified Nurse Specialist]]*CodeRatesTable[[#This Row],[Certified Nurse Specialist]]</f>
        <v>0</v>
      </c>
      <c r="I115" s="6">
        <f>UnitsTable[[#This Row],[LVN]]*CodeRatesTable[[#This Row],[LVN]]</f>
        <v>0</v>
      </c>
      <c r="J115" s="6">
        <f>UnitsTable[[#This Row],[Pharmacist]]*CodeRatesTable[[#This Row],[Pharmacist]]</f>
        <v>0</v>
      </c>
      <c r="K115" s="6">
        <f>UnitsTable[[#This Row],[Licensed Psychiatric Technician]]*CodeRatesTable[[#This Row],[Licensed Psychiatric Technician]]</f>
        <v>0</v>
      </c>
      <c r="L115" s="6">
        <f>UnitsTable[[#This Row],[Psychologist/Pre-licensed Psychologist]]*CodeRatesTable[[#This Row],[Psychologist/Pre-licensed Psychologist]]</f>
        <v>0</v>
      </c>
      <c r="M115" s="6">
        <f>UnitsTable[[#This Row],[LPHA (MFT  LCSW  LPCC)/ Intern or Waivered LPHA (MFT  LCSW  LPCC)]]*CodeRatesTable[[#This Row],[LPHA (MFT  LCSW  LPCC)/ Intern or Waivered LPHA (MFT  LCSW  LPCC)]]</f>
        <v>0</v>
      </c>
      <c r="N115" s="6">
        <f>UnitsTable[[#This Row],[Occupational Therapist]]*CodeRatesTable[[#This Row],[Occupational Therapist]]</f>
        <v>0</v>
      </c>
      <c r="O115" s="6">
        <f>UnitsTable[[#This Row],[Mental Health Rehab Specialist]]*CodeRatesTable[[#This Row],[Mental Health Rehab Specialist]]</f>
        <v>0</v>
      </c>
      <c r="P115" s="6">
        <f>UnitsTable[[#This Row],[Peer Recovery Specialist]]*CodeRatesTable[[#This Row],[Peer Recovery Specialist]]</f>
        <v>0</v>
      </c>
      <c r="Q115" s="6">
        <f>UnitsTable[[#This Row],[Other Qualified Providers - Other Designated MH staff that bill medical]]*CodeRatesTable[[#This Row],[Other Qualified Providers - Other Designated MH staff that bill medical]]</f>
        <v>0</v>
      </c>
      <c r="R115" s="6">
        <f>SUM(RevenueTable[[#This Row],[Psychiatrist/ Contracted Psychiatrist]:[Other Qualified Providers - Other Designated MH staff that bill medical]])</f>
        <v>0</v>
      </c>
    </row>
    <row r="116" spans="1:18" hidden="1" x14ac:dyDescent="0.25">
      <c r="A116" s="6" t="str">
        <f>INDEX(CodeMinutesTable[Frequently Used],MATCH(RevenueTable[[#This Row],[Billing Code]],CodeMinutesTable[Code],0))</f>
        <v>No</v>
      </c>
      <c r="B116" s="3" t="s">
        <v>266</v>
      </c>
      <c r="C116" t="s">
        <v>267</v>
      </c>
      <c r="D116" s="6">
        <f>UnitsTable[[#This Row],[Psychiatrist/ Contracted Psychiatrist]]*CodeRatesTable[[#This Row],[Psychiatrist/ Contracted Psychiatrist]]</f>
        <v>0</v>
      </c>
      <c r="E116" s="6">
        <f>UnitsTable[[#This Row],[Physicians Assistant]]*CodeRatesTable[[#This Row],[Physicians Assistant]]</f>
        <v>0</v>
      </c>
      <c r="F116" s="6">
        <f>UnitsTable[[#This Row],[Nurse Practitioner]]*CodeRatesTable[[#This Row],[Nurse Practitioner]]</f>
        <v>0</v>
      </c>
      <c r="G116" s="6">
        <f>UnitsTable[[#This Row],[RN]]*CodeRatesTable[[#This Row],[RN]]</f>
        <v>0</v>
      </c>
      <c r="H116" s="6">
        <f>UnitsTable[[#This Row],[Certified Nurse Specialist]]*CodeRatesTable[[#This Row],[Certified Nurse Specialist]]</f>
        <v>0</v>
      </c>
      <c r="I116" s="6">
        <f>UnitsTable[[#This Row],[LVN]]*CodeRatesTable[[#This Row],[LVN]]</f>
        <v>0</v>
      </c>
      <c r="J116" s="6">
        <f>UnitsTable[[#This Row],[Pharmacist]]*CodeRatesTable[[#This Row],[Pharmacist]]</f>
        <v>0</v>
      </c>
      <c r="K116" s="6">
        <f>UnitsTable[[#This Row],[Licensed Psychiatric Technician]]*CodeRatesTable[[#This Row],[Licensed Psychiatric Technician]]</f>
        <v>0</v>
      </c>
      <c r="L116" s="6">
        <f>UnitsTable[[#This Row],[Psychologist/Pre-licensed Psychologist]]*CodeRatesTable[[#This Row],[Psychologist/Pre-licensed Psychologist]]</f>
        <v>0</v>
      </c>
      <c r="M116" s="6">
        <f>UnitsTable[[#This Row],[LPHA (MFT  LCSW  LPCC)/ Intern or Waivered LPHA (MFT  LCSW  LPCC)]]*CodeRatesTable[[#This Row],[LPHA (MFT  LCSW  LPCC)/ Intern or Waivered LPHA (MFT  LCSW  LPCC)]]</f>
        <v>0</v>
      </c>
      <c r="N116" s="6">
        <f>UnitsTable[[#This Row],[Occupational Therapist]]*CodeRatesTable[[#This Row],[Occupational Therapist]]</f>
        <v>0</v>
      </c>
      <c r="O116" s="6">
        <f>UnitsTable[[#This Row],[Mental Health Rehab Specialist]]*CodeRatesTable[[#This Row],[Mental Health Rehab Specialist]]</f>
        <v>0</v>
      </c>
      <c r="P116" s="6">
        <f>UnitsTable[[#This Row],[Peer Recovery Specialist]]*CodeRatesTable[[#This Row],[Peer Recovery Specialist]]</f>
        <v>0</v>
      </c>
      <c r="Q116" s="6">
        <f>UnitsTable[[#This Row],[Other Qualified Providers - Other Designated MH staff that bill medical]]*CodeRatesTable[[#This Row],[Other Qualified Providers - Other Designated MH staff that bill medical]]</f>
        <v>0</v>
      </c>
      <c r="R116" s="6">
        <f>SUM(RevenueTable[[#This Row],[Psychiatrist/ Contracted Psychiatrist]:[Other Qualified Providers - Other Designated MH staff that bill medical]])</f>
        <v>0</v>
      </c>
    </row>
    <row r="117" spans="1:18" hidden="1" x14ac:dyDescent="0.25">
      <c r="A117" s="6" t="str">
        <f>INDEX(CodeMinutesTable[Frequently Used],MATCH(RevenueTable[[#This Row],[Billing Code]],CodeMinutesTable[Code],0))</f>
        <v>No</v>
      </c>
      <c r="B117" s="3" t="s">
        <v>268</v>
      </c>
      <c r="C117" t="s">
        <v>269</v>
      </c>
      <c r="D117" s="6">
        <f>UnitsTable[[#This Row],[Psychiatrist/ Contracted Psychiatrist]]*CodeRatesTable[[#This Row],[Psychiatrist/ Contracted Psychiatrist]]</f>
        <v>0</v>
      </c>
      <c r="E117" s="6">
        <f>UnitsTable[[#This Row],[Physicians Assistant]]*CodeRatesTable[[#This Row],[Physicians Assistant]]</f>
        <v>0</v>
      </c>
      <c r="F117" s="6">
        <f>UnitsTable[[#This Row],[Nurse Practitioner]]*CodeRatesTable[[#This Row],[Nurse Practitioner]]</f>
        <v>0</v>
      </c>
      <c r="G117" s="6">
        <f>UnitsTable[[#This Row],[RN]]*CodeRatesTable[[#This Row],[RN]]</f>
        <v>0</v>
      </c>
      <c r="H117" s="6">
        <f>UnitsTable[[#This Row],[Certified Nurse Specialist]]*CodeRatesTable[[#This Row],[Certified Nurse Specialist]]</f>
        <v>0</v>
      </c>
      <c r="I117" s="6">
        <f>UnitsTable[[#This Row],[LVN]]*CodeRatesTable[[#This Row],[LVN]]</f>
        <v>0</v>
      </c>
      <c r="J117" s="6">
        <f>UnitsTable[[#This Row],[Pharmacist]]*CodeRatesTable[[#This Row],[Pharmacist]]</f>
        <v>0</v>
      </c>
      <c r="K117" s="6">
        <f>UnitsTable[[#This Row],[Licensed Psychiatric Technician]]*CodeRatesTable[[#This Row],[Licensed Psychiatric Technician]]</f>
        <v>0</v>
      </c>
      <c r="L117" s="6">
        <f>UnitsTable[[#This Row],[Psychologist/Pre-licensed Psychologist]]*CodeRatesTable[[#This Row],[Psychologist/Pre-licensed Psychologist]]</f>
        <v>0</v>
      </c>
      <c r="M117" s="6">
        <f>UnitsTable[[#This Row],[LPHA (MFT  LCSW  LPCC)/ Intern or Waivered LPHA (MFT  LCSW  LPCC)]]*CodeRatesTable[[#This Row],[LPHA (MFT  LCSW  LPCC)/ Intern or Waivered LPHA (MFT  LCSW  LPCC)]]</f>
        <v>0</v>
      </c>
      <c r="N117" s="6">
        <f>UnitsTable[[#This Row],[Occupational Therapist]]*CodeRatesTable[[#This Row],[Occupational Therapist]]</f>
        <v>0</v>
      </c>
      <c r="O117" s="6">
        <f>UnitsTable[[#This Row],[Mental Health Rehab Specialist]]*CodeRatesTable[[#This Row],[Mental Health Rehab Specialist]]</f>
        <v>0</v>
      </c>
      <c r="P117" s="6">
        <f>UnitsTable[[#This Row],[Peer Recovery Specialist]]*CodeRatesTable[[#This Row],[Peer Recovery Specialist]]</f>
        <v>0</v>
      </c>
      <c r="Q117" s="6">
        <f>UnitsTable[[#This Row],[Other Qualified Providers - Other Designated MH staff that bill medical]]*CodeRatesTable[[#This Row],[Other Qualified Providers - Other Designated MH staff that bill medical]]</f>
        <v>0</v>
      </c>
      <c r="R117" s="6">
        <f>SUM(RevenueTable[[#This Row],[Psychiatrist/ Contracted Psychiatrist]:[Other Qualified Providers - Other Designated MH staff that bill medical]])</f>
        <v>0</v>
      </c>
    </row>
    <row r="118" spans="1:18" x14ac:dyDescent="0.25">
      <c r="A118" s="6" t="str">
        <f>INDEX(CodeMinutesTable[Frequently Used],MATCH(RevenueTable[[#This Row],[Billing Code]],CodeMinutesTable[Code],0))</f>
        <v>Yes</v>
      </c>
      <c r="B118" s="3" t="s">
        <v>270</v>
      </c>
      <c r="C118" t="s">
        <v>271</v>
      </c>
      <c r="D118" s="6">
        <f>UnitsTable[[#This Row],[Psychiatrist/ Contracted Psychiatrist]]*CodeRatesTable[[#This Row],[Psychiatrist/ Contracted Psychiatrist]]</f>
        <v>0</v>
      </c>
      <c r="E118" s="6">
        <f>UnitsTable[[#This Row],[Physicians Assistant]]*CodeRatesTable[[#This Row],[Physicians Assistant]]</f>
        <v>0</v>
      </c>
      <c r="F118" s="6">
        <f>UnitsTable[[#This Row],[Nurse Practitioner]]*CodeRatesTable[[#This Row],[Nurse Practitioner]]</f>
        <v>0</v>
      </c>
      <c r="G118" s="6">
        <f>UnitsTable[[#This Row],[RN]]*CodeRatesTable[[#This Row],[RN]]</f>
        <v>0</v>
      </c>
      <c r="H118" s="6">
        <f>UnitsTable[[#This Row],[Certified Nurse Specialist]]*CodeRatesTable[[#This Row],[Certified Nurse Specialist]]</f>
        <v>0</v>
      </c>
      <c r="I118" s="6">
        <f>UnitsTable[[#This Row],[LVN]]*CodeRatesTable[[#This Row],[LVN]]</f>
        <v>0</v>
      </c>
      <c r="J118" s="6">
        <f>UnitsTable[[#This Row],[Pharmacist]]*CodeRatesTable[[#This Row],[Pharmacist]]</f>
        <v>0</v>
      </c>
      <c r="K118" s="6">
        <f>UnitsTable[[#This Row],[Licensed Psychiatric Technician]]*CodeRatesTable[[#This Row],[Licensed Psychiatric Technician]]</f>
        <v>0</v>
      </c>
      <c r="L118" s="6">
        <f>UnitsTable[[#This Row],[Psychologist/Pre-licensed Psychologist]]*CodeRatesTable[[#This Row],[Psychologist/Pre-licensed Psychologist]]</f>
        <v>0</v>
      </c>
      <c r="M118" s="6">
        <f>UnitsTable[[#This Row],[LPHA (MFT  LCSW  LPCC)/ Intern or Waivered LPHA (MFT  LCSW  LPCC)]]*CodeRatesTable[[#This Row],[LPHA (MFT  LCSW  LPCC)/ Intern or Waivered LPHA (MFT  LCSW  LPCC)]]</f>
        <v>0</v>
      </c>
      <c r="N118" s="6">
        <f>UnitsTable[[#This Row],[Occupational Therapist]]*CodeRatesTable[[#This Row],[Occupational Therapist]]</f>
        <v>0</v>
      </c>
      <c r="O118" s="6">
        <f>UnitsTable[[#This Row],[Mental Health Rehab Specialist]]*CodeRatesTable[[#This Row],[Mental Health Rehab Specialist]]</f>
        <v>0</v>
      </c>
      <c r="P118" s="6">
        <f>UnitsTable[[#This Row],[Peer Recovery Specialist]]*CodeRatesTable[[#This Row],[Peer Recovery Specialist]]</f>
        <v>0</v>
      </c>
      <c r="Q118" s="6">
        <f>UnitsTable[[#This Row],[Other Qualified Providers - Other Designated MH staff that bill medical]]*CodeRatesTable[[#This Row],[Other Qualified Providers - Other Designated MH staff that bill medical]]</f>
        <v>0</v>
      </c>
      <c r="R118" s="6">
        <f>SUM(RevenueTable[[#This Row],[Psychiatrist/ Contracted Psychiatrist]:[Other Qualified Providers - Other Designated MH staff that bill medical]])</f>
        <v>0</v>
      </c>
    </row>
    <row r="119" spans="1:18" x14ac:dyDescent="0.25">
      <c r="A119" s="6" t="str">
        <f>INDEX(CodeMinutesTable[Frequently Used],MATCH(RevenueTable[[#This Row],[Billing Code]],CodeMinutesTable[Code],0))</f>
        <v>Yes</v>
      </c>
      <c r="B119" s="3" t="s">
        <v>272</v>
      </c>
      <c r="C119" t="s">
        <v>273</v>
      </c>
      <c r="D119" s="6">
        <f>UnitsTable[[#This Row],[Psychiatrist/ Contracted Psychiatrist]]*CodeRatesTable[[#This Row],[Psychiatrist/ Contracted Psychiatrist]]</f>
        <v>0</v>
      </c>
      <c r="E119" s="6">
        <f>UnitsTable[[#This Row],[Physicians Assistant]]*CodeRatesTable[[#This Row],[Physicians Assistant]]</f>
        <v>0</v>
      </c>
      <c r="F119" s="6">
        <f>UnitsTable[[#This Row],[Nurse Practitioner]]*CodeRatesTable[[#This Row],[Nurse Practitioner]]</f>
        <v>0</v>
      </c>
      <c r="G119" s="6">
        <f>UnitsTable[[#This Row],[RN]]*CodeRatesTable[[#This Row],[RN]]</f>
        <v>0</v>
      </c>
      <c r="H119" s="6">
        <f>UnitsTable[[#This Row],[Certified Nurse Specialist]]*CodeRatesTable[[#This Row],[Certified Nurse Specialist]]</f>
        <v>0</v>
      </c>
      <c r="I119" s="6">
        <f>UnitsTable[[#This Row],[LVN]]*CodeRatesTable[[#This Row],[LVN]]</f>
        <v>0</v>
      </c>
      <c r="J119" s="6">
        <f>UnitsTable[[#This Row],[Pharmacist]]*CodeRatesTable[[#This Row],[Pharmacist]]</f>
        <v>0</v>
      </c>
      <c r="K119" s="6">
        <f>UnitsTable[[#This Row],[Licensed Psychiatric Technician]]*CodeRatesTable[[#This Row],[Licensed Psychiatric Technician]]</f>
        <v>0</v>
      </c>
      <c r="L119" s="6">
        <f>UnitsTable[[#This Row],[Psychologist/Pre-licensed Psychologist]]*CodeRatesTable[[#This Row],[Psychologist/Pre-licensed Psychologist]]</f>
        <v>0</v>
      </c>
      <c r="M119" s="6">
        <f>UnitsTable[[#This Row],[LPHA (MFT  LCSW  LPCC)/ Intern or Waivered LPHA (MFT  LCSW  LPCC)]]*CodeRatesTable[[#This Row],[LPHA (MFT  LCSW  LPCC)/ Intern or Waivered LPHA (MFT  LCSW  LPCC)]]</f>
        <v>0</v>
      </c>
      <c r="N119" s="6">
        <f>UnitsTable[[#This Row],[Occupational Therapist]]*CodeRatesTable[[#This Row],[Occupational Therapist]]</f>
        <v>0</v>
      </c>
      <c r="O119" s="6">
        <f>UnitsTable[[#This Row],[Mental Health Rehab Specialist]]*CodeRatesTable[[#This Row],[Mental Health Rehab Specialist]]</f>
        <v>0</v>
      </c>
      <c r="P119" s="6">
        <f>UnitsTable[[#This Row],[Peer Recovery Specialist]]*CodeRatesTable[[#This Row],[Peer Recovery Specialist]]</f>
        <v>0</v>
      </c>
      <c r="Q119" s="6">
        <f>UnitsTable[[#This Row],[Other Qualified Providers - Other Designated MH staff that bill medical]]*CodeRatesTable[[#This Row],[Other Qualified Providers - Other Designated MH staff that bill medical]]</f>
        <v>0</v>
      </c>
      <c r="R119" s="6">
        <f>SUM(RevenueTable[[#This Row],[Psychiatrist/ Contracted Psychiatrist]:[Other Qualified Providers - Other Designated MH staff that bill medical]])</f>
        <v>0</v>
      </c>
    </row>
    <row r="120" spans="1:18" x14ac:dyDescent="0.25">
      <c r="A120" s="6" t="str">
        <f>INDEX(CodeMinutesTable[Frequently Used],MATCH(RevenueTable[[#This Row],[Billing Code]],CodeMinutesTable[Code],0))</f>
        <v>Yes</v>
      </c>
      <c r="B120" s="3" t="s">
        <v>274</v>
      </c>
      <c r="C120" t="s">
        <v>275</v>
      </c>
      <c r="D120" s="6">
        <f>UnitsTable[[#This Row],[Psychiatrist/ Contracted Psychiatrist]]*CodeRatesTable[[#This Row],[Psychiatrist/ Contracted Psychiatrist]]</f>
        <v>0</v>
      </c>
      <c r="E120" s="6">
        <f>UnitsTable[[#This Row],[Physicians Assistant]]*CodeRatesTable[[#This Row],[Physicians Assistant]]</f>
        <v>0</v>
      </c>
      <c r="F120" s="6">
        <f>UnitsTable[[#This Row],[Nurse Practitioner]]*CodeRatesTable[[#This Row],[Nurse Practitioner]]</f>
        <v>0</v>
      </c>
      <c r="G120" s="6">
        <f>UnitsTable[[#This Row],[RN]]*CodeRatesTable[[#This Row],[RN]]</f>
        <v>0</v>
      </c>
      <c r="H120" s="6">
        <f>UnitsTable[[#This Row],[Certified Nurse Specialist]]*CodeRatesTable[[#This Row],[Certified Nurse Specialist]]</f>
        <v>0</v>
      </c>
      <c r="I120" s="6">
        <f>UnitsTable[[#This Row],[LVN]]*CodeRatesTable[[#This Row],[LVN]]</f>
        <v>0</v>
      </c>
      <c r="J120" s="6">
        <f>UnitsTable[[#This Row],[Pharmacist]]*CodeRatesTable[[#This Row],[Pharmacist]]</f>
        <v>0</v>
      </c>
      <c r="K120" s="6">
        <f>UnitsTable[[#This Row],[Licensed Psychiatric Technician]]*CodeRatesTable[[#This Row],[Licensed Psychiatric Technician]]</f>
        <v>0</v>
      </c>
      <c r="L120" s="6">
        <f>UnitsTable[[#This Row],[Psychologist/Pre-licensed Psychologist]]*CodeRatesTable[[#This Row],[Psychologist/Pre-licensed Psychologist]]</f>
        <v>0</v>
      </c>
      <c r="M120" s="6">
        <f>UnitsTable[[#This Row],[LPHA (MFT  LCSW  LPCC)/ Intern or Waivered LPHA (MFT  LCSW  LPCC)]]*CodeRatesTable[[#This Row],[LPHA (MFT  LCSW  LPCC)/ Intern or Waivered LPHA (MFT  LCSW  LPCC)]]</f>
        <v>0</v>
      </c>
      <c r="N120" s="6">
        <f>UnitsTable[[#This Row],[Occupational Therapist]]*CodeRatesTable[[#This Row],[Occupational Therapist]]</f>
        <v>0</v>
      </c>
      <c r="O120" s="6">
        <f>UnitsTable[[#This Row],[Mental Health Rehab Specialist]]*CodeRatesTable[[#This Row],[Mental Health Rehab Specialist]]</f>
        <v>0</v>
      </c>
      <c r="P120" s="6">
        <f>UnitsTable[[#This Row],[Peer Recovery Specialist]]*CodeRatesTable[[#This Row],[Peer Recovery Specialist]]</f>
        <v>0</v>
      </c>
      <c r="Q120" s="6">
        <f>UnitsTable[[#This Row],[Other Qualified Providers - Other Designated MH staff that bill medical]]*CodeRatesTable[[#This Row],[Other Qualified Providers - Other Designated MH staff that bill medical]]</f>
        <v>0</v>
      </c>
      <c r="R120" s="6">
        <f>SUM(RevenueTable[[#This Row],[Psychiatrist/ Contracted Psychiatrist]:[Other Qualified Providers - Other Designated MH staff that bill medical]])</f>
        <v>0</v>
      </c>
    </row>
    <row r="121" spans="1:18" hidden="1" x14ac:dyDescent="0.25">
      <c r="A121" s="6" t="str">
        <f>INDEX(CodeMinutesTable[Frequently Used],MATCH(RevenueTable[[#This Row],[Billing Code]],CodeMinutesTable[Code],0))</f>
        <v>No</v>
      </c>
      <c r="B121" s="3" t="s">
        <v>276</v>
      </c>
      <c r="C121" t="s">
        <v>277</v>
      </c>
      <c r="D121" s="6">
        <f>UnitsTable[[#This Row],[Psychiatrist/ Contracted Psychiatrist]]*CodeRatesTable[[#This Row],[Psychiatrist/ Contracted Psychiatrist]]</f>
        <v>0</v>
      </c>
      <c r="E121" s="6">
        <f>UnitsTable[[#This Row],[Physicians Assistant]]*CodeRatesTable[[#This Row],[Physicians Assistant]]</f>
        <v>0</v>
      </c>
      <c r="F121" s="6">
        <f>UnitsTable[[#This Row],[Nurse Practitioner]]*CodeRatesTable[[#This Row],[Nurse Practitioner]]</f>
        <v>0</v>
      </c>
      <c r="G121" s="6">
        <f>UnitsTable[[#This Row],[RN]]*CodeRatesTable[[#This Row],[RN]]</f>
        <v>0</v>
      </c>
      <c r="H121" s="6">
        <f>UnitsTable[[#This Row],[Certified Nurse Specialist]]*CodeRatesTable[[#This Row],[Certified Nurse Specialist]]</f>
        <v>0</v>
      </c>
      <c r="I121" s="6">
        <f>UnitsTable[[#This Row],[LVN]]*CodeRatesTable[[#This Row],[LVN]]</f>
        <v>0</v>
      </c>
      <c r="J121" s="6">
        <f>UnitsTable[[#This Row],[Pharmacist]]*CodeRatesTable[[#This Row],[Pharmacist]]</f>
        <v>0</v>
      </c>
      <c r="K121" s="6">
        <f>UnitsTable[[#This Row],[Licensed Psychiatric Technician]]*CodeRatesTable[[#This Row],[Licensed Psychiatric Technician]]</f>
        <v>0</v>
      </c>
      <c r="L121" s="6">
        <f>UnitsTable[[#This Row],[Psychologist/Pre-licensed Psychologist]]*CodeRatesTable[[#This Row],[Psychologist/Pre-licensed Psychologist]]</f>
        <v>0</v>
      </c>
      <c r="M121" s="6">
        <f>UnitsTable[[#This Row],[LPHA (MFT  LCSW  LPCC)/ Intern or Waivered LPHA (MFT  LCSW  LPCC)]]*CodeRatesTable[[#This Row],[LPHA (MFT  LCSW  LPCC)/ Intern or Waivered LPHA (MFT  LCSW  LPCC)]]</f>
        <v>0</v>
      </c>
      <c r="N121" s="6">
        <f>UnitsTable[[#This Row],[Occupational Therapist]]*CodeRatesTable[[#This Row],[Occupational Therapist]]</f>
        <v>0</v>
      </c>
      <c r="O121" s="6">
        <f>UnitsTable[[#This Row],[Mental Health Rehab Specialist]]*CodeRatesTable[[#This Row],[Mental Health Rehab Specialist]]</f>
        <v>0</v>
      </c>
      <c r="P121" s="6">
        <f>UnitsTable[[#This Row],[Peer Recovery Specialist]]*CodeRatesTable[[#This Row],[Peer Recovery Specialist]]</f>
        <v>0</v>
      </c>
      <c r="Q121" s="6">
        <f>UnitsTable[[#This Row],[Other Qualified Providers - Other Designated MH staff that bill medical]]*CodeRatesTable[[#This Row],[Other Qualified Providers - Other Designated MH staff that bill medical]]</f>
        <v>0</v>
      </c>
      <c r="R121" s="6">
        <f>SUM(RevenueTable[[#This Row],[Psychiatrist/ Contracted Psychiatrist]:[Other Qualified Providers - Other Designated MH staff that bill medical]])</f>
        <v>0</v>
      </c>
    </row>
    <row r="122" spans="1:18" hidden="1" x14ac:dyDescent="0.25">
      <c r="A122" s="6" t="str">
        <f>INDEX(CodeMinutesTable[Frequently Used],MATCH(RevenueTable[[#This Row],[Billing Code]],CodeMinutesTable[Code],0))</f>
        <v>No</v>
      </c>
      <c r="B122" s="3" t="s">
        <v>278</v>
      </c>
      <c r="C122" t="s">
        <v>279</v>
      </c>
      <c r="D122" s="6">
        <f>UnitsTable[[#This Row],[Psychiatrist/ Contracted Psychiatrist]]*CodeRatesTable[[#This Row],[Psychiatrist/ Contracted Psychiatrist]]</f>
        <v>0</v>
      </c>
      <c r="E122" s="6">
        <f>UnitsTable[[#This Row],[Physicians Assistant]]*CodeRatesTable[[#This Row],[Physicians Assistant]]</f>
        <v>0</v>
      </c>
      <c r="F122" s="6">
        <f>UnitsTable[[#This Row],[Nurse Practitioner]]*CodeRatesTable[[#This Row],[Nurse Practitioner]]</f>
        <v>0</v>
      </c>
      <c r="G122" s="6">
        <f>UnitsTable[[#This Row],[RN]]*CodeRatesTable[[#This Row],[RN]]</f>
        <v>0</v>
      </c>
      <c r="H122" s="6">
        <f>UnitsTable[[#This Row],[Certified Nurse Specialist]]*CodeRatesTable[[#This Row],[Certified Nurse Specialist]]</f>
        <v>0</v>
      </c>
      <c r="I122" s="6">
        <f>UnitsTable[[#This Row],[LVN]]*CodeRatesTable[[#This Row],[LVN]]</f>
        <v>0</v>
      </c>
      <c r="J122" s="6">
        <f>UnitsTable[[#This Row],[Pharmacist]]*CodeRatesTable[[#This Row],[Pharmacist]]</f>
        <v>0</v>
      </c>
      <c r="K122" s="6">
        <f>UnitsTable[[#This Row],[Licensed Psychiatric Technician]]*CodeRatesTable[[#This Row],[Licensed Psychiatric Technician]]</f>
        <v>0</v>
      </c>
      <c r="L122" s="6">
        <f>UnitsTable[[#This Row],[Psychologist/Pre-licensed Psychologist]]*CodeRatesTable[[#This Row],[Psychologist/Pre-licensed Psychologist]]</f>
        <v>0</v>
      </c>
      <c r="M122" s="6">
        <f>UnitsTable[[#This Row],[LPHA (MFT  LCSW  LPCC)/ Intern or Waivered LPHA (MFT  LCSW  LPCC)]]*CodeRatesTable[[#This Row],[LPHA (MFT  LCSW  LPCC)/ Intern or Waivered LPHA (MFT  LCSW  LPCC)]]</f>
        <v>0</v>
      </c>
      <c r="N122" s="6">
        <f>UnitsTable[[#This Row],[Occupational Therapist]]*CodeRatesTable[[#This Row],[Occupational Therapist]]</f>
        <v>0</v>
      </c>
      <c r="O122" s="6">
        <f>UnitsTable[[#This Row],[Mental Health Rehab Specialist]]*CodeRatesTable[[#This Row],[Mental Health Rehab Specialist]]</f>
        <v>0</v>
      </c>
      <c r="P122" s="6">
        <f>UnitsTable[[#This Row],[Peer Recovery Specialist]]*CodeRatesTable[[#This Row],[Peer Recovery Specialist]]</f>
        <v>0</v>
      </c>
      <c r="Q122" s="6">
        <f>UnitsTable[[#This Row],[Other Qualified Providers - Other Designated MH staff that bill medical]]*CodeRatesTable[[#This Row],[Other Qualified Providers - Other Designated MH staff that bill medical]]</f>
        <v>0</v>
      </c>
      <c r="R122" s="6">
        <f>SUM(RevenueTable[[#This Row],[Psychiatrist/ Contracted Psychiatrist]:[Other Qualified Providers - Other Designated MH staff that bill medical]])</f>
        <v>0</v>
      </c>
    </row>
    <row r="123" spans="1:18" hidden="1" x14ac:dyDescent="0.25">
      <c r="A123" s="6" t="str">
        <f>INDEX(CodeMinutesTable[Frequently Used],MATCH(RevenueTable[[#This Row],[Billing Code]],CodeMinutesTable[Code],0))</f>
        <v>No</v>
      </c>
      <c r="B123" s="3" t="s">
        <v>280</v>
      </c>
      <c r="C123" t="s">
        <v>281</v>
      </c>
      <c r="D123" s="6">
        <f>UnitsTable[[#This Row],[Psychiatrist/ Contracted Psychiatrist]]*CodeRatesTable[[#This Row],[Psychiatrist/ Contracted Psychiatrist]]</f>
        <v>0</v>
      </c>
      <c r="E123" s="6">
        <f>UnitsTable[[#This Row],[Physicians Assistant]]*CodeRatesTable[[#This Row],[Physicians Assistant]]</f>
        <v>0</v>
      </c>
      <c r="F123" s="6">
        <f>UnitsTable[[#This Row],[Nurse Practitioner]]*CodeRatesTable[[#This Row],[Nurse Practitioner]]</f>
        <v>0</v>
      </c>
      <c r="G123" s="6">
        <f>UnitsTable[[#This Row],[RN]]*CodeRatesTable[[#This Row],[RN]]</f>
        <v>0</v>
      </c>
      <c r="H123" s="6">
        <f>UnitsTable[[#This Row],[Certified Nurse Specialist]]*CodeRatesTable[[#This Row],[Certified Nurse Specialist]]</f>
        <v>0</v>
      </c>
      <c r="I123" s="6">
        <f>UnitsTable[[#This Row],[LVN]]*CodeRatesTable[[#This Row],[LVN]]</f>
        <v>0</v>
      </c>
      <c r="J123" s="6">
        <f>UnitsTable[[#This Row],[Pharmacist]]*CodeRatesTable[[#This Row],[Pharmacist]]</f>
        <v>0</v>
      </c>
      <c r="K123" s="6">
        <f>UnitsTable[[#This Row],[Licensed Psychiatric Technician]]*CodeRatesTable[[#This Row],[Licensed Psychiatric Technician]]</f>
        <v>0</v>
      </c>
      <c r="L123" s="6">
        <f>UnitsTable[[#This Row],[Psychologist/Pre-licensed Psychologist]]*CodeRatesTable[[#This Row],[Psychologist/Pre-licensed Psychologist]]</f>
        <v>0</v>
      </c>
      <c r="M123" s="6">
        <f>UnitsTable[[#This Row],[LPHA (MFT  LCSW  LPCC)/ Intern or Waivered LPHA (MFT  LCSW  LPCC)]]*CodeRatesTable[[#This Row],[LPHA (MFT  LCSW  LPCC)/ Intern or Waivered LPHA (MFT  LCSW  LPCC)]]</f>
        <v>0</v>
      </c>
      <c r="N123" s="6">
        <f>UnitsTable[[#This Row],[Occupational Therapist]]*CodeRatesTable[[#This Row],[Occupational Therapist]]</f>
        <v>0</v>
      </c>
      <c r="O123" s="6">
        <f>UnitsTable[[#This Row],[Mental Health Rehab Specialist]]*CodeRatesTable[[#This Row],[Mental Health Rehab Specialist]]</f>
        <v>0</v>
      </c>
      <c r="P123" s="6">
        <f>UnitsTable[[#This Row],[Peer Recovery Specialist]]*CodeRatesTable[[#This Row],[Peer Recovery Specialist]]</f>
        <v>0</v>
      </c>
      <c r="Q123" s="6">
        <f>UnitsTable[[#This Row],[Other Qualified Providers - Other Designated MH staff that bill medical]]*CodeRatesTable[[#This Row],[Other Qualified Providers - Other Designated MH staff that bill medical]]</f>
        <v>0</v>
      </c>
      <c r="R123" s="6">
        <f>SUM(RevenueTable[[#This Row],[Psychiatrist/ Contracted Psychiatrist]:[Other Qualified Providers - Other Designated MH staff that bill medical]])</f>
        <v>0</v>
      </c>
    </row>
    <row r="124" spans="1:18" hidden="1" x14ac:dyDescent="0.25">
      <c r="A124" s="6" t="str">
        <f>INDEX(CodeMinutesTable[Frequently Used],MATCH(RevenueTable[[#This Row],[Billing Code]],CodeMinutesTable[Code],0))</f>
        <v>No</v>
      </c>
      <c r="B124" s="3" t="s">
        <v>282</v>
      </c>
      <c r="C124" t="s">
        <v>283</v>
      </c>
      <c r="D124" s="6">
        <f>UnitsTable[[#This Row],[Psychiatrist/ Contracted Psychiatrist]]*CodeRatesTable[[#This Row],[Psychiatrist/ Contracted Psychiatrist]]</f>
        <v>0</v>
      </c>
      <c r="E124" s="6">
        <f>UnitsTable[[#This Row],[Physicians Assistant]]*CodeRatesTable[[#This Row],[Physicians Assistant]]</f>
        <v>0</v>
      </c>
      <c r="F124" s="6">
        <f>UnitsTable[[#This Row],[Nurse Practitioner]]*CodeRatesTable[[#This Row],[Nurse Practitioner]]</f>
        <v>0</v>
      </c>
      <c r="G124" s="6">
        <f>UnitsTable[[#This Row],[RN]]*CodeRatesTable[[#This Row],[RN]]</f>
        <v>0</v>
      </c>
      <c r="H124" s="6">
        <f>UnitsTable[[#This Row],[Certified Nurse Specialist]]*CodeRatesTable[[#This Row],[Certified Nurse Specialist]]</f>
        <v>0</v>
      </c>
      <c r="I124" s="6">
        <f>UnitsTable[[#This Row],[LVN]]*CodeRatesTable[[#This Row],[LVN]]</f>
        <v>0</v>
      </c>
      <c r="J124" s="6">
        <f>UnitsTable[[#This Row],[Pharmacist]]*CodeRatesTable[[#This Row],[Pharmacist]]</f>
        <v>0</v>
      </c>
      <c r="K124" s="6">
        <f>UnitsTable[[#This Row],[Licensed Psychiatric Technician]]*CodeRatesTable[[#This Row],[Licensed Psychiatric Technician]]</f>
        <v>0</v>
      </c>
      <c r="L124" s="6">
        <f>UnitsTable[[#This Row],[Psychologist/Pre-licensed Psychologist]]*CodeRatesTable[[#This Row],[Psychologist/Pre-licensed Psychologist]]</f>
        <v>0</v>
      </c>
      <c r="M124" s="6">
        <f>UnitsTable[[#This Row],[LPHA (MFT  LCSW  LPCC)/ Intern or Waivered LPHA (MFT  LCSW  LPCC)]]*CodeRatesTable[[#This Row],[LPHA (MFT  LCSW  LPCC)/ Intern or Waivered LPHA (MFT  LCSW  LPCC)]]</f>
        <v>0</v>
      </c>
      <c r="N124" s="6">
        <f>UnitsTable[[#This Row],[Occupational Therapist]]*CodeRatesTable[[#This Row],[Occupational Therapist]]</f>
        <v>0</v>
      </c>
      <c r="O124" s="6">
        <f>UnitsTable[[#This Row],[Mental Health Rehab Specialist]]*CodeRatesTable[[#This Row],[Mental Health Rehab Specialist]]</f>
        <v>0</v>
      </c>
      <c r="P124" s="6">
        <f>UnitsTable[[#This Row],[Peer Recovery Specialist]]*CodeRatesTable[[#This Row],[Peer Recovery Specialist]]</f>
        <v>0</v>
      </c>
      <c r="Q124" s="6">
        <f>UnitsTable[[#This Row],[Other Qualified Providers - Other Designated MH staff that bill medical]]*CodeRatesTable[[#This Row],[Other Qualified Providers - Other Designated MH staff that bill medical]]</f>
        <v>0</v>
      </c>
      <c r="R124" s="6">
        <f>SUM(RevenueTable[[#This Row],[Psychiatrist/ Contracted Psychiatrist]:[Other Qualified Providers - Other Designated MH staff that bill medical]])</f>
        <v>0</v>
      </c>
    </row>
    <row r="125" spans="1:18" hidden="1" x14ac:dyDescent="0.25">
      <c r="A125" s="6" t="str">
        <f>INDEX(CodeMinutesTable[Frequently Used],MATCH(RevenueTable[[#This Row],[Billing Code]],CodeMinutesTable[Code],0))</f>
        <v>No</v>
      </c>
      <c r="B125" s="3" t="s">
        <v>284</v>
      </c>
      <c r="C125" t="s">
        <v>285</v>
      </c>
      <c r="D125" s="6">
        <f>UnitsTable[[#This Row],[Psychiatrist/ Contracted Psychiatrist]]*CodeRatesTable[[#This Row],[Psychiatrist/ Contracted Psychiatrist]]</f>
        <v>0</v>
      </c>
      <c r="E125" s="6">
        <f>UnitsTable[[#This Row],[Physicians Assistant]]*CodeRatesTable[[#This Row],[Physicians Assistant]]</f>
        <v>0</v>
      </c>
      <c r="F125" s="6">
        <f>UnitsTable[[#This Row],[Nurse Practitioner]]*CodeRatesTable[[#This Row],[Nurse Practitioner]]</f>
        <v>0</v>
      </c>
      <c r="G125" s="6">
        <f>UnitsTable[[#This Row],[RN]]*CodeRatesTable[[#This Row],[RN]]</f>
        <v>0</v>
      </c>
      <c r="H125" s="6">
        <f>UnitsTable[[#This Row],[Certified Nurse Specialist]]*CodeRatesTable[[#This Row],[Certified Nurse Specialist]]</f>
        <v>0</v>
      </c>
      <c r="I125" s="6">
        <f>UnitsTable[[#This Row],[LVN]]*CodeRatesTable[[#This Row],[LVN]]</f>
        <v>0</v>
      </c>
      <c r="J125" s="6">
        <f>UnitsTable[[#This Row],[Pharmacist]]*CodeRatesTable[[#This Row],[Pharmacist]]</f>
        <v>0</v>
      </c>
      <c r="K125" s="6">
        <f>UnitsTable[[#This Row],[Licensed Psychiatric Technician]]*CodeRatesTable[[#This Row],[Licensed Psychiatric Technician]]</f>
        <v>0</v>
      </c>
      <c r="L125" s="6">
        <f>UnitsTable[[#This Row],[Psychologist/Pre-licensed Psychologist]]*CodeRatesTable[[#This Row],[Psychologist/Pre-licensed Psychologist]]</f>
        <v>0</v>
      </c>
      <c r="M125" s="6">
        <f>UnitsTable[[#This Row],[LPHA (MFT  LCSW  LPCC)/ Intern or Waivered LPHA (MFT  LCSW  LPCC)]]*CodeRatesTable[[#This Row],[LPHA (MFT  LCSW  LPCC)/ Intern or Waivered LPHA (MFT  LCSW  LPCC)]]</f>
        <v>0</v>
      </c>
      <c r="N125" s="6">
        <f>UnitsTable[[#This Row],[Occupational Therapist]]*CodeRatesTable[[#This Row],[Occupational Therapist]]</f>
        <v>0</v>
      </c>
      <c r="O125" s="6">
        <f>UnitsTable[[#This Row],[Mental Health Rehab Specialist]]*CodeRatesTable[[#This Row],[Mental Health Rehab Specialist]]</f>
        <v>0</v>
      </c>
      <c r="P125" s="6">
        <f>UnitsTable[[#This Row],[Peer Recovery Specialist]]*CodeRatesTable[[#This Row],[Peer Recovery Specialist]]</f>
        <v>0</v>
      </c>
      <c r="Q125" s="6">
        <f>UnitsTable[[#This Row],[Other Qualified Providers - Other Designated MH staff that bill medical]]*CodeRatesTable[[#This Row],[Other Qualified Providers - Other Designated MH staff that bill medical]]</f>
        <v>0</v>
      </c>
      <c r="R125" s="6">
        <f>SUM(RevenueTable[[#This Row],[Psychiatrist/ Contracted Psychiatrist]:[Other Qualified Providers - Other Designated MH staff that bill medical]])</f>
        <v>0</v>
      </c>
    </row>
    <row r="126" spans="1:18" hidden="1" x14ac:dyDescent="0.25">
      <c r="A126" s="6" t="str">
        <f>INDEX(CodeMinutesTable[Frequently Used],MATCH(RevenueTable[[#This Row],[Billing Code]],CodeMinutesTable[Code],0))</f>
        <v>No</v>
      </c>
      <c r="B126" s="3" t="s">
        <v>286</v>
      </c>
      <c r="C126" t="s">
        <v>287</v>
      </c>
      <c r="D126" s="6">
        <f>UnitsTable[[#This Row],[Psychiatrist/ Contracted Psychiatrist]]*CodeRatesTable[[#This Row],[Psychiatrist/ Contracted Psychiatrist]]</f>
        <v>0</v>
      </c>
      <c r="E126" s="6">
        <f>UnitsTable[[#This Row],[Physicians Assistant]]*CodeRatesTable[[#This Row],[Physicians Assistant]]</f>
        <v>0</v>
      </c>
      <c r="F126" s="6">
        <f>UnitsTable[[#This Row],[Nurse Practitioner]]*CodeRatesTable[[#This Row],[Nurse Practitioner]]</f>
        <v>0</v>
      </c>
      <c r="G126" s="6">
        <f>UnitsTable[[#This Row],[RN]]*CodeRatesTable[[#This Row],[RN]]</f>
        <v>0</v>
      </c>
      <c r="H126" s="6">
        <f>UnitsTable[[#This Row],[Certified Nurse Specialist]]*CodeRatesTable[[#This Row],[Certified Nurse Specialist]]</f>
        <v>0</v>
      </c>
      <c r="I126" s="6">
        <f>UnitsTable[[#This Row],[LVN]]*CodeRatesTable[[#This Row],[LVN]]</f>
        <v>0</v>
      </c>
      <c r="J126" s="6">
        <f>UnitsTable[[#This Row],[Pharmacist]]*CodeRatesTable[[#This Row],[Pharmacist]]</f>
        <v>0</v>
      </c>
      <c r="K126" s="6">
        <f>UnitsTable[[#This Row],[Licensed Psychiatric Technician]]*CodeRatesTable[[#This Row],[Licensed Psychiatric Technician]]</f>
        <v>0</v>
      </c>
      <c r="L126" s="6">
        <f>UnitsTable[[#This Row],[Psychologist/Pre-licensed Psychologist]]*CodeRatesTable[[#This Row],[Psychologist/Pre-licensed Psychologist]]</f>
        <v>0</v>
      </c>
      <c r="M126" s="6">
        <f>UnitsTable[[#This Row],[LPHA (MFT  LCSW  LPCC)/ Intern or Waivered LPHA (MFT  LCSW  LPCC)]]*CodeRatesTable[[#This Row],[LPHA (MFT  LCSW  LPCC)/ Intern or Waivered LPHA (MFT  LCSW  LPCC)]]</f>
        <v>0</v>
      </c>
      <c r="N126" s="6">
        <f>UnitsTable[[#This Row],[Occupational Therapist]]*CodeRatesTable[[#This Row],[Occupational Therapist]]</f>
        <v>0</v>
      </c>
      <c r="O126" s="6">
        <f>UnitsTable[[#This Row],[Mental Health Rehab Specialist]]*CodeRatesTable[[#This Row],[Mental Health Rehab Specialist]]</f>
        <v>0</v>
      </c>
      <c r="P126" s="6">
        <f>UnitsTable[[#This Row],[Peer Recovery Specialist]]*CodeRatesTable[[#This Row],[Peer Recovery Specialist]]</f>
        <v>0</v>
      </c>
      <c r="Q126" s="6">
        <f>UnitsTable[[#This Row],[Other Qualified Providers - Other Designated MH staff that bill medical]]*CodeRatesTable[[#This Row],[Other Qualified Providers - Other Designated MH staff that bill medical]]</f>
        <v>0</v>
      </c>
      <c r="R126" s="6">
        <f>SUM(RevenueTable[[#This Row],[Psychiatrist/ Contracted Psychiatrist]:[Other Qualified Providers - Other Designated MH staff that bill medical]])</f>
        <v>0</v>
      </c>
    </row>
    <row r="127" spans="1:18" hidden="1" x14ac:dyDescent="0.25">
      <c r="A127" s="6" t="str">
        <f>INDEX(CodeMinutesTable[Frequently Used],MATCH(RevenueTable[[#This Row],[Billing Code]],CodeMinutesTable[Code],0))</f>
        <v>No</v>
      </c>
      <c r="B127" s="3" t="s">
        <v>288</v>
      </c>
      <c r="C127" t="s">
        <v>289</v>
      </c>
      <c r="D127" s="6">
        <f>UnitsTable[[#This Row],[Psychiatrist/ Contracted Psychiatrist]]*CodeRatesTable[[#This Row],[Psychiatrist/ Contracted Psychiatrist]]</f>
        <v>0</v>
      </c>
      <c r="E127" s="6">
        <f>UnitsTable[[#This Row],[Physicians Assistant]]*CodeRatesTable[[#This Row],[Physicians Assistant]]</f>
        <v>0</v>
      </c>
      <c r="F127" s="6">
        <f>UnitsTable[[#This Row],[Nurse Practitioner]]*CodeRatesTable[[#This Row],[Nurse Practitioner]]</f>
        <v>0</v>
      </c>
      <c r="G127" s="6">
        <f>UnitsTable[[#This Row],[RN]]*CodeRatesTable[[#This Row],[RN]]</f>
        <v>0</v>
      </c>
      <c r="H127" s="6">
        <f>UnitsTable[[#This Row],[Certified Nurse Specialist]]*CodeRatesTable[[#This Row],[Certified Nurse Specialist]]</f>
        <v>0</v>
      </c>
      <c r="I127" s="6">
        <f>UnitsTable[[#This Row],[LVN]]*CodeRatesTable[[#This Row],[LVN]]</f>
        <v>0</v>
      </c>
      <c r="J127" s="6">
        <f>UnitsTable[[#This Row],[Pharmacist]]*CodeRatesTable[[#This Row],[Pharmacist]]</f>
        <v>0</v>
      </c>
      <c r="K127" s="6">
        <f>UnitsTable[[#This Row],[Licensed Psychiatric Technician]]*CodeRatesTable[[#This Row],[Licensed Psychiatric Technician]]</f>
        <v>0</v>
      </c>
      <c r="L127" s="6">
        <f>UnitsTable[[#This Row],[Psychologist/Pre-licensed Psychologist]]*CodeRatesTable[[#This Row],[Psychologist/Pre-licensed Psychologist]]</f>
        <v>0</v>
      </c>
      <c r="M127" s="6">
        <f>UnitsTable[[#This Row],[LPHA (MFT  LCSW  LPCC)/ Intern or Waivered LPHA (MFT  LCSW  LPCC)]]*CodeRatesTable[[#This Row],[LPHA (MFT  LCSW  LPCC)/ Intern or Waivered LPHA (MFT  LCSW  LPCC)]]</f>
        <v>0</v>
      </c>
      <c r="N127" s="6">
        <f>UnitsTable[[#This Row],[Occupational Therapist]]*CodeRatesTable[[#This Row],[Occupational Therapist]]</f>
        <v>0</v>
      </c>
      <c r="O127" s="6">
        <f>UnitsTable[[#This Row],[Mental Health Rehab Specialist]]*CodeRatesTable[[#This Row],[Mental Health Rehab Specialist]]</f>
        <v>0</v>
      </c>
      <c r="P127" s="6">
        <f>UnitsTable[[#This Row],[Peer Recovery Specialist]]*CodeRatesTable[[#This Row],[Peer Recovery Specialist]]</f>
        <v>0</v>
      </c>
      <c r="Q127" s="6">
        <f>UnitsTable[[#This Row],[Other Qualified Providers - Other Designated MH staff that bill medical]]*CodeRatesTable[[#This Row],[Other Qualified Providers - Other Designated MH staff that bill medical]]</f>
        <v>0</v>
      </c>
      <c r="R127" s="6">
        <f>SUM(RevenueTable[[#This Row],[Psychiatrist/ Contracted Psychiatrist]:[Other Qualified Providers - Other Designated MH staff that bill medical]])</f>
        <v>0</v>
      </c>
    </row>
    <row r="128" spans="1:18" x14ac:dyDescent="0.25">
      <c r="A128" s="6" t="str">
        <f>INDEX(CodeMinutesTable[Frequently Used],MATCH(RevenueTable[[#This Row],[Billing Code]],CodeMinutesTable[Code],0))</f>
        <v>Yes</v>
      </c>
      <c r="B128" s="3" t="s">
        <v>290</v>
      </c>
      <c r="C128" t="s">
        <v>291</v>
      </c>
      <c r="D128" s="6">
        <f>UnitsTable[[#This Row],[Psychiatrist/ Contracted Psychiatrist]]*CodeRatesTable[[#This Row],[Psychiatrist/ Contracted Psychiatrist]]</f>
        <v>0</v>
      </c>
      <c r="E128" s="6">
        <f>UnitsTable[[#This Row],[Physicians Assistant]]*CodeRatesTable[[#This Row],[Physicians Assistant]]</f>
        <v>0</v>
      </c>
      <c r="F128" s="6">
        <f>UnitsTable[[#This Row],[Nurse Practitioner]]*CodeRatesTable[[#This Row],[Nurse Practitioner]]</f>
        <v>0</v>
      </c>
      <c r="G128" s="6">
        <f>UnitsTable[[#This Row],[RN]]*CodeRatesTable[[#This Row],[RN]]</f>
        <v>0</v>
      </c>
      <c r="H128" s="6">
        <f>UnitsTable[[#This Row],[Certified Nurse Specialist]]*CodeRatesTable[[#This Row],[Certified Nurse Specialist]]</f>
        <v>0</v>
      </c>
      <c r="I128" s="6">
        <f>UnitsTable[[#This Row],[LVN]]*CodeRatesTable[[#This Row],[LVN]]</f>
        <v>0</v>
      </c>
      <c r="J128" s="6">
        <f>UnitsTable[[#This Row],[Pharmacist]]*CodeRatesTable[[#This Row],[Pharmacist]]</f>
        <v>0</v>
      </c>
      <c r="K128" s="6">
        <f>UnitsTable[[#This Row],[Licensed Psychiatric Technician]]*CodeRatesTable[[#This Row],[Licensed Psychiatric Technician]]</f>
        <v>0</v>
      </c>
      <c r="L128" s="6">
        <f>UnitsTable[[#This Row],[Psychologist/Pre-licensed Psychologist]]*CodeRatesTable[[#This Row],[Psychologist/Pre-licensed Psychologist]]</f>
        <v>0</v>
      </c>
      <c r="M128" s="6">
        <f>UnitsTable[[#This Row],[LPHA (MFT  LCSW  LPCC)/ Intern or Waivered LPHA (MFT  LCSW  LPCC)]]*CodeRatesTable[[#This Row],[LPHA (MFT  LCSW  LPCC)/ Intern or Waivered LPHA (MFT  LCSW  LPCC)]]</f>
        <v>0</v>
      </c>
      <c r="N128" s="6">
        <f>UnitsTable[[#This Row],[Occupational Therapist]]*CodeRatesTable[[#This Row],[Occupational Therapist]]</f>
        <v>0</v>
      </c>
      <c r="O128" s="6">
        <f>UnitsTable[[#This Row],[Mental Health Rehab Specialist]]*CodeRatesTable[[#This Row],[Mental Health Rehab Specialist]]</f>
        <v>0</v>
      </c>
      <c r="P128" s="6">
        <f>UnitsTable[[#This Row],[Peer Recovery Specialist]]*CodeRatesTable[[#This Row],[Peer Recovery Specialist]]</f>
        <v>0</v>
      </c>
      <c r="Q128" s="6">
        <f>UnitsTable[[#This Row],[Other Qualified Providers - Other Designated MH staff that bill medical]]*CodeRatesTable[[#This Row],[Other Qualified Providers - Other Designated MH staff that bill medical]]</f>
        <v>0</v>
      </c>
      <c r="R128" s="6">
        <f>SUM(RevenueTable[[#This Row],[Psychiatrist/ Contracted Psychiatrist]:[Other Qualified Providers - Other Designated MH staff that bill medical]])</f>
        <v>0</v>
      </c>
    </row>
    <row r="129" spans="1:18" x14ac:dyDescent="0.25">
      <c r="A129" s="6" t="str">
        <f>INDEX(CodeMinutesTable[Frequently Used],MATCH(RevenueTable[[#This Row],[Billing Code]],CodeMinutesTable[Code],0))</f>
        <v>Yes</v>
      </c>
      <c r="B129" s="3" t="s">
        <v>292</v>
      </c>
      <c r="C129" t="s">
        <v>293</v>
      </c>
      <c r="D129" s="6">
        <f>UnitsTable[[#This Row],[Psychiatrist/ Contracted Psychiatrist]]*CodeRatesTable[[#This Row],[Psychiatrist/ Contracted Psychiatrist]]</f>
        <v>0</v>
      </c>
      <c r="E129" s="6">
        <f>UnitsTable[[#This Row],[Physicians Assistant]]*CodeRatesTable[[#This Row],[Physicians Assistant]]</f>
        <v>0</v>
      </c>
      <c r="F129" s="6">
        <f>UnitsTable[[#This Row],[Nurse Practitioner]]*CodeRatesTable[[#This Row],[Nurse Practitioner]]</f>
        <v>0</v>
      </c>
      <c r="G129" s="6">
        <f>UnitsTable[[#This Row],[RN]]*CodeRatesTable[[#This Row],[RN]]</f>
        <v>0</v>
      </c>
      <c r="H129" s="6">
        <f>UnitsTable[[#This Row],[Certified Nurse Specialist]]*CodeRatesTable[[#This Row],[Certified Nurse Specialist]]</f>
        <v>0</v>
      </c>
      <c r="I129" s="6">
        <f>UnitsTable[[#This Row],[LVN]]*CodeRatesTable[[#This Row],[LVN]]</f>
        <v>0</v>
      </c>
      <c r="J129" s="6">
        <f>UnitsTable[[#This Row],[Pharmacist]]*CodeRatesTable[[#This Row],[Pharmacist]]</f>
        <v>0</v>
      </c>
      <c r="K129" s="6">
        <f>UnitsTable[[#This Row],[Licensed Psychiatric Technician]]*CodeRatesTable[[#This Row],[Licensed Psychiatric Technician]]</f>
        <v>0</v>
      </c>
      <c r="L129" s="6">
        <f>UnitsTable[[#This Row],[Psychologist/Pre-licensed Psychologist]]*CodeRatesTable[[#This Row],[Psychologist/Pre-licensed Psychologist]]</f>
        <v>0</v>
      </c>
      <c r="M129" s="6">
        <f>UnitsTable[[#This Row],[LPHA (MFT  LCSW  LPCC)/ Intern or Waivered LPHA (MFT  LCSW  LPCC)]]*CodeRatesTable[[#This Row],[LPHA (MFT  LCSW  LPCC)/ Intern or Waivered LPHA (MFT  LCSW  LPCC)]]</f>
        <v>0</v>
      </c>
      <c r="N129" s="6">
        <f>UnitsTable[[#This Row],[Occupational Therapist]]*CodeRatesTable[[#This Row],[Occupational Therapist]]</f>
        <v>0</v>
      </c>
      <c r="O129" s="6">
        <f>UnitsTable[[#This Row],[Mental Health Rehab Specialist]]*CodeRatesTable[[#This Row],[Mental Health Rehab Specialist]]</f>
        <v>0</v>
      </c>
      <c r="P129" s="6">
        <f>UnitsTable[[#This Row],[Peer Recovery Specialist]]*CodeRatesTable[[#This Row],[Peer Recovery Specialist]]</f>
        <v>0</v>
      </c>
      <c r="Q129" s="6">
        <f>UnitsTable[[#This Row],[Other Qualified Providers - Other Designated MH staff that bill medical]]*CodeRatesTable[[#This Row],[Other Qualified Providers - Other Designated MH staff that bill medical]]</f>
        <v>0</v>
      </c>
      <c r="R129" s="6">
        <f>SUM(RevenueTable[[#This Row],[Psychiatrist/ Contracted Psychiatrist]:[Other Qualified Providers - Other Designated MH staff that bill medical]])</f>
        <v>0</v>
      </c>
    </row>
    <row r="130" spans="1:18" x14ac:dyDescent="0.25">
      <c r="A130" s="6" t="str">
        <f>INDEX(CodeMinutesTable[Frequently Used],MATCH(RevenueTable[[#This Row],[Billing Code]],CodeMinutesTable[Code],0))</f>
        <v>Yes</v>
      </c>
      <c r="B130" s="3" t="s">
        <v>294</v>
      </c>
      <c r="C130" t="s">
        <v>295</v>
      </c>
      <c r="D130" s="6">
        <f>UnitsTable[[#This Row],[Psychiatrist/ Contracted Psychiatrist]]*CodeRatesTable[[#This Row],[Psychiatrist/ Contracted Psychiatrist]]</f>
        <v>0</v>
      </c>
      <c r="E130" s="6">
        <f>UnitsTable[[#This Row],[Physicians Assistant]]*CodeRatesTable[[#This Row],[Physicians Assistant]]</f>
        <v>0</v>
      </c>
      <c r="F130" s="6">
        <f>UnitsTable[[#This Row],[Nurse Practitioner]]*CodeRatesTable[[#This Row],[Nurse Practitioner]]</f>
        <v>0</v>
      </c>
      <c r="G130" s="6">
        <f>UnitsTable[[#This Row],[RN]]*CodeRatesTable[[#This Row],[RN]]</f>
        <v>0</v>
      </c>
      <c r="H130" s="6">
        <f>UnitsTable[[#This Row],[Certified Nurse Specialist]]*CodeRatesTable[[#This Row],[Certified Nurse Specialist]]</f>
        <v>0</v>
      </c>
      <c r="I130" s="6">
        <f>UnitsTable[[#This Row],[LVN]]*CodeRatesTable[[#This Row],[LVN]]</f>
        <v>0</v>
      </c>
      <c r="J130" s="6">
        <f>UnitsTable[[#This Row],[Pharmacist]]*CodeRatesTable[[#This Row],[Pharmacist]]</f>
        <v>0</v>
      </c>
      <c r="K130" s="6">
        <f>UnitsTable[[#This Row],[Licensed Psychiatric Technician]]*CodeRatesTable[[#This Row],[Licensed Psychiatric Technician]]</f>
        <v>0</v>
      </c>
      <c r="L130" s="6">
        <f>UnitsTable[[#This Row],[Psychologist/Pre-licensed Psychologist]]*CodeRatesTable[[#This Row],[Psychologist/Pre-licensed Psychologist]]</f>
        <v>0</v>
      </c>
      <c r="M130" s="6">
        <f>UnitsTable[[#This Row],[LPHA (MFT  LCSW  LPCC)/ Intern or Waivered LPHA (MFT  LCSW  LPCC)]]*CodeRatesTable[[#This Row],[LPHA (MFT  LCSW  LPCC)/ Intern or Waivered LPHA (MFT  LCSW  LPCC)]]</f>
        <v>0</v>
      </c>
      <c r="N130" s="6">
        <f>UnitsTable[[#This Row],[Occupational Therapist]]*CodeRatesTable[[#This Row],[Occupational Therapist]]</f>
        <v>0</v>
      </c>
      <c r="O130" s="6">
        <f>UnitsTable[[#This Row],[Mental Health Rehab Specialist]]*CodeRatesTable[[#This Row],[Mental Health Rehab Specialist]]</f>
        <v>0</v>
      </c>
      <c r="P130" s="6">
        <f>UnitsTable[[#This Row],[Peer Recovery Specialist]]*CodeRatesTable[[#This Row],[Peer Recovery Specialist]]</f>
        <v>0</v>
      </c>
      <c r="Q130" s="6">
        <f>UnitsTable[[#This Row],[Other Qualified Providers - Other Designated MH staff that bill medical]]*CodeRatesTable[[#This Row],[Other Qualified Providers - Other Designated MH staff that bill medical]]</f>
        <v>0</v>
      </c>
      <c r="R130" s="6">
        <f>SUM(RevenueTable[[#This Row],[Psychiatrist/ Contracted Psychiatrist]:[Other Qualified Providers - Other Designated MH staff that bill medical]])</f>
        <v>0</v>
      </c>
    </row>
    <row r="131" spans="1:18" x14ac:dyDescent="0.25">
      <c r="A131" s="6" t="str">
        <f>INDEX(CodeMinutesTable[Frequently Used],MATCH(RevenueTable[[#This Row],[Billing Code]],CodeMinutesTable[Code],0))</f>
        <v>Yes</v>
      </c>
      <c r="B131" s="3" t="s">
        <v>296</v>
      </c>
      <c r="C131" t="s">
        <v>297</v>
      </c>
      <c r="D131" s="6">
        <f>UnitsTable[[#This Row],[Psychiatrist/ Contracted Psychiatrist]]*CodeRatesTable[[#This Row],[Psychiatrist/ Contracted Psychiatrist]]</f>
        <v>0</v>
      </c>
      <c r="E131" s="6">
        <f>UnitsTable[[#This Row],[Physicians Assistant]]*CodeRatesTable[[#This Row],[Physicians Assistant]]</f>
        <v>0</v>
      </c>
      <c r="F131" s="6">
        <f>UnitsTable[[#This Row],[Nurse Practitioner]]*CodeRatesTable[[#This Row],[Nurse Practitioner]]</f>
        <v>0</v>
      </c>
      <c r="G131" s="6">
        <f>UnitsTable[[#This Row],[RN]]*CodeRatesTable[[#This Row],[RN]]</f>
        <v>0</v>
      </c>
      <c r="H131" s="6">
        <f>UnitsTable[[#This Row],[Certified Nurse Specialist]]*CodeRatesTable[[#This Row],[Certified Nurse Specialist]]</f>
        <v>0</v>
      </c>
      <c r="I131" s="6">
        <f>UnitsTable[[#This Row],[LVN]]*CodeRatesTable[[#This Row],[LVN]]</f>
        <v>0</v>
      </c>
      <c r="J131" s="6">
        <f>UnitsTable[[#This Row],[Pharmacist]]*CodeRatesTable[[#This Row],[Pharmacist]]</f>
        <v>0</v>
      </c>
      <c r="K131" s="6">
        <f>UnitsTable[[#This Row],[Licensed Psychiatric Technician]]*CodeRatesTable[[#This Row],[Licensed Psychiatric Technician]]</f>
        <v>0</v>
      </c>
      <c r="L131" s="6">
        <f>UnitsTable[[#This Row],[Psychologist/Pre-licensed Psychologist]]*CodeRatesTable[[#This Row],[Psychologist/Pre-licensed Psychologist]]</f>
        <v>0</v>
      </c>
      <c r="M131" s="6">
        <f>UnitsTable[[#This Row],[LPHA (MFT  LCSW  LPCC)/ Intern or Waivered LPHA (MFT  LCSW  LPCC)]]*CodeRatesTable[[#This Row],[LPHA (MFT  LCSW  LPCC)/ Intern or Waivered LPHA (MFT  LCSW  LPCC)]]</f>
        <v>0</v>
      </c>
      <c r="N131" s="6">
        <f>UnitsTable[[#This Row],[Occupational Therapist]]*CodeRatesTable[[#This Row],[Occupational Therapist]]</f>
        <v>0</v>
      </c>
      <c r="O131" s="6">
        <f>UnitsTable[[#This Row],[Mental Health Rehab Specialist]]*CodeRatesTable[[#This Row],[Mental Health Rehab Specialist]]</f>
        <v>0</v>
      </c>
      <c r="P131" s="6">
        <f>UnitsTable[[#This Row],[Peer Recovery Specialist]]*CodeRatesTable[[#This Row],[Peer Recovery Specialist]]</f>
        <v>0</v>
      </c>
      <c r="Q131" s="6">
        <f>UnitsTable[[#This Row],[Other Qualified Providers - Other Designated MH staff that bill medical]]*CodeRatesTable[[#This Row],[Other Qualified Providers - Other Designated MH staff that bill medical]]</f>
        <v>0</v>
      </c>
      <c r="R131" s="6">
        <f>SUM(RevenueTable[[#This Row],[Psychiatrist/ Contracted Psychiatrist]:[Other Qualified Providers - Other Designated MH staff that bill medical]])</f>
        <v>0</v>
      </c>
    </row>
    <row r="132" spans="1:18" x14ac:dyDescent="0.25">
      <c r="A132" s="6" t="str">
        <f>INDEX(CodeMinutesTable[Frequently Used],MATCH(RevenueTable[[#This Row],[Billing Code]],CodeMinutesTable[Code],0))</f>
        <v>Yes</v>
      </c>
      <c r="B132" s="3" t="s">
        <v>298</v>
      </c>
      <c r="C132" t="s">
        <v>299</v>
      </c>
      <c r="D132" s="6">
        <f>UnitsTable[[#This Row],[Psychiatrist/ Contracted Psychiatrist]]*CodeRatesTable[[#This Row],[Psychiatrist/ Contracted Psychiatrist]]</f>
        <v>0</v>
      </c>
      <c r="E132" s="6">
        <f>UnitsTable[[#This Row],[Physicians Assistant]]*CodeRatesTable[[#This Row],[Physicians Assistant]]</f>
        <v>0</v>
      </c>
      <c r="F132" s="6">
        <f>UnitsTable[[#This Row],[Nurse Practitioner]]*CodeRatesTable[[#This Row],[Nurse Practitioner]]</f>
        <v>0</v>
      </c>
      <c r="G132" s="6">
        <f>UnitsTable[[#This Row],[RN]]*CodeRatesTable[[#This Row],[RN]]</f>
        <v>0</v>
      </c>
      <c r="H132" s="6">
        <f>UnitsTable[[#This Row],[Certified Nurse Specialist]]*CodeRatesTable[[#This Row],[Certified Nurse Specialist]]</f>
        <v>0</v>
      </c>
      <c r="I132" s="6">
        <f>UnitsTable[[#This Row],[LVN]]*CodeRatesTable[[#This Row],[LVN]]</f>
        <v>0</v>
      </c>
      <c r="J132" s="6">
        <f>UnitsTable[[#This Row],[Pharmacist]]*CodeRatesTable[[#This Row],[Pharmacist]]</f>
        <v>0</v>
      </c>
      <c r="K132" s="6">
        <f>UnitsTable[[#This Row],[Licensed Psychiatric Technician]]*CodeRatesTable[[#This Row],[Licensed Psychiatric Technician]]</f>
        <v>0</v>
      </c>
      <c r="L132" s="6">
        <f>UnitsTable[[#This Row],[Psychologist/Pre-licensed Psychologist]]*CodeRatesTable[[#This Row],[Psychologist/Pre-licensed Psychologist]]</f>
        <v>0</v>
      </c>
      <c r="M132" s="6">
        <f>UnitsTable[[#This Row],[LPHA (MFT  LCSW  LPCC)/ Intern or Waivered LPHA (MFT  LCSW  LPCC)]]*CodeRatesTable[[#This Row],[LPHA (MFT  LCSW  LPCC)/ Intern or Waivered LPHA (MFT  LCSW  LPCC)]]</f>
        <v>0</v>
      </c>
      <c r="N132" s="6">
        <f>UnitsTable[[#This Row],[Occupational Therapist]]*CodeRatesTable[[#This Row],[Occupational Therapist]]</f>
        <v>0</v>
      </c>
      <c r="O132" s="6">
        <f>UnitsTable[[#This Row],[Mental Health Rehab Specialist]]*CodeRatesTable[[#This Row],[Mental Health Rehab Specialist]]</f>
        <v>0</v>
      </c>
      <c r="P132" s="6">
        <f>UnitsTable[[#This Row],[Peer Recovery Specialist]]*CodeRatesTable[[#This Row],[Peer Recovery Specialist]]</f>
        <v>0</v>
      </c>
      <c r="Q132" s="6">
        <f>UnitsTable[[#This Row],[Other Qualified Providers - Other Designated MH staff that bill medical]]*CodeRatesTable[[#This Row],[Other Qualified Providers - Other Designated MH staff that bill medical]]</f>
        <v>0</v>
      </c>
      <c r="R132" s="6">
        <f>SUM(RevenueTable[[#This Row],[Psychiatrist/ Contracted Psychiatrist]:[Other Qualified Providers - Other Designated MH staff that bill medical]])</f>
        <v>0</v>
      </c>
    </row>
    <row r="133" spans="1:18" hidden="1" x14ac:dyDescent="0.25">
      <c r="A133" s="6" t="str">
        <f>INDEX(CodeMinutesTable[Frequently Used],MATCH(RevenueTable[[#This Row],[Billing Code]],CodeMinutesTable[Code],0))</f>
        <v>No</v>
      </c>
      <c r="B133" s="3" t="s">
        <v>300</v>
      </c>
      <c r="C133" t="s">
        <v>301</v>
      </c>
      <c r="D133" s="6">
        <f>UnitsTable[[#This Row],[Psychiatrist/ Contracted Psychiatrist]]*CodeRatesTable[[#This Row],[Psychiatrist/ Contracted Psychiatrist]]</f>
        <v>0</v>
      </c>
      <c r="E133" s="6">
        <f>UnitsTable[[#This Row],[Physicians Assistant]]*CodeRatesTable[[#This Row],[Physicians Assistant]]</f>
        <v>0</v>
      </c>
      <c r="F133" s="6">
        <f>UnitsTable[[#This Row],[Nurse Practitioner]]*CodeRatesTable[[#This Row],[Nurse Practitioner]]</f>
        <v>0</v>
      </c>
      <c r="G133" s="6">
        <f>UnitsTable[[#This Row],[RN]]*CodeRatesTable[[#This Row],[RN]]</f>
        <v>0</v>
      </c>
      <c r="H133" s="6">
        <f>UnitsTable[[#This Row],[Certified Nurse Specialist]]*CodeRatesTable[[#This Row],[Certified Nurse Specialist]]</f>
        <v>0</v>
      </c>
      <c r="I133" s="6">
        <f>UnitsTable[[#This Row],[LVN]]*CodeRatesTable[[#This Row],[LVN]]</f>
        <v>0</v>
      </c>
      <c r="J133" s="6">
        <f>UnitsTable[[#This Row],[Pharmacist]]*CodeRatesTable[[#This Row],[Pharmacist]]</f>
        <v>0</v>
      </c>
      <c r="K133" s="6">
        <f>UnitsTable[[#This Row],[Licensed Psychiatric Technician]]*CodeRatesTable[[#This Row],[Licensed Psychiatric Technician]]</f>
        <v>0</v>
      </c>
      <c r="L133" s="6">
        <f>UnitsTable[[#This Row],[Psychologist/Pre-licensed Psychologist]]*CodeRatesTable[[#This Row],[Psychologist/Pre-licensed Psychologist]]</f>
        <v>0</v>
      </c>
      <c r="M133" s="6">
        <f>UnitsTable[[#This Row],[LPHA (MFT  LCSW  LPCC)/ Intern or Waivered LPHA (MFT  LCSW  LPCC)]]*CodeRatesTable[[#This Row],[LPHA (MFT  LCSW  LPCC)/ Intern or Waivered LPHA (MFT  LCSW  LPCC)]]</f>
        <v>0</v>
      </c>
      <c r="N133" s="6">
        <f>UnitsTable[[#This Row],[Occupational Therapist]]*CodeRatesTable[[#This Row],[Occupational Therapist]]</f>
        <v>0</v>
      </c>
      <c r="O133" s="6">
        <f>UnitsTable[[#This Row],[Mental Health Rehab Specialist]]*CodeRatesTable[[#This Row],[Mental Health Rehab Specialist]]</f>
        <v>0</v>
      </c>
      <c r="P133" s="6">
        <f>UnitsTable[[#This Row],[Peer Recovery Specialist]]*CodeRatesTable[[#This Row],[Peer Recovery Specialist]]</f>
        <v>0</v>
      </c>
      <c r="Q133" s="6">
        <f>UnitsTable[[#This Row],[Other Qualified Providers - Other Designated MH staff that bill medical]]*CodeRatesTable[[#This Row],[Other Qualified Providers - Other Designated MH staff that bill medical]]</f>
        <v>0</v>
      </c>
      <c r="R133" s="6">
        <f>SUM(RevenueTable[[#This Row],[Psychiatrist/ Contracted Psychiatrist]:[Other Qualified Providers - Other Designated MH staff that bill medical]])</f>
        <v>0</v>
      </c>
    </row>
    <row r="134" spans="1:18" x14ac:dyDescent="0.25">
      <c r="A134" s="6" t="str">
        <f>INDEX(CodeMinutesTable[Frequently Used],MATCH(RevenueTable[[#This Row],[Billing Code]],CodeMinutesTable[Code],0))</f>
        <v>Yes</v>
      </c>
      <c r="B134" s="3" t="s">
        <v>302</v>
      </c>
      <c r="C134" t="s">
        <v>303</v>
      </c>
      <c r="D134" s="6">
        <f>UnitsTable[[#This Row],[Psychiatrist/ Contracted Psychiatrist]]*CodeRatesTable[[#This Row],[Psychiatrist/ Contracted Psychiatrist]]</f>
        <v>0</v>
      </c>
      <c r="E134" s="6">
        <f>UnitsTable[[#This Row],[Physicians Assistant]]*CodeRatesTable[[#This Row],[Physicians Assistant]]</f>
        <v>0</v>
      </c>
      <c r="F134" s="6">
        <f>UnitsTable[[#This Row],[Nurse Practitioner]]*CodeRatesTable[[#This Row],[Nurse Practitioner]]</f>
        <v>0</v>
      </c>
      <c r="G134" s="6">
        <f>UnitsTable[[#This Row],[RN]]*CodeRatesTable[[#This Row],[RN]]</f>
        <v>0</v>
      </c>
      <c r="H134" s="6">
        <f>UnitsTable[[#This Row],[Certified Nurse Specialist]]*CodeRatesTable[[#This Row],[Certified Nurse Specialist]]</f>
        <v>0</v>
      </c>
      <c r="I134" s="6">
        <f>UnitsTable[[#This Row],[LVN]]*CodeRatesTable[[#This Row],[LVN]]</f>
        <v>0</v>
      </c>
      <c r="J134" s="6">
        <f>UnitsTable[[#This Row],[Pharmacist]]*CodeRatesTable[[#This Row],[Pharmacist]]</f>
        <v>0</v>
      </c>
      <c r="K134" s="6">
        <f>UnitsTable[[#This Row],[Licensed Psychiatric Technician]]*CodeRatesTable[[#This Row],[Licensed Psychiatric Technician]]</f>
        <v>0</v>
      </c>
      <c r="L134" s="6">
        <f>UnitsTable[[#This Row],[Psychologist/Pre-licensed Psychologist]]*CodeRatesTable[[#This Row],[Psychologist/Pre-licensed Psychologist]]</f>
        <v>0</v>
      </c>
      <c r="M134" s="6">
        <f>UnitsTable[[#This Row],[LPHA (MFT  LCSW  LPCC)/ Intern or Waivered LPHA (MFT  LCSW  LPCC)]]*CodeRatesTable[[#This Row],[LPHA (MFT  LCSW  LPCC)/ Intern or Waivered LPHA (MFT  LCSW  LPCC)]]</f>
        <v>0</v>
      </c>
      <c r="N134" s="6">
        <f>UnitsTable[[#This Row],[Occupational Therapist]]*CodeRatesTable[[#This Row],[Occupational Therapist]]</f>
        <v>0</v>
      </c>
      <c r="O134" s="6">
        <f>UnitsTable[[#This Row],[Mental Health Rehab Specialist]]*CodeRatesTable[[#This Row],[Mental Health Rehab Specialist]]</f>
        <v>0</v>
      </c>
      <c r="P134" s="6">
        <f>UnitsTable[[#This Row],[Peer Recovery Specialist]]*CodeRatesTable[[#This Row],[Peer Recovery Specialist]]</f>
        <v>0</v>
      </c>
      <c r="Q134" s="6">
        <f>UnitsTable[[#This Row],[Other Qualified Providers - Other Designated MH staff that bill medical]]*CodeRatesTable[[#This Row],[Other Qualified Providers - Other Designated MH staff that bill medical]]</f>
        <v>0</v>
      </c>
      <c r="R134" s="6">
        <f>SUM(RevenueTable[[#This Row],[Psychiatrist/ Contracted Psychiatrist]:[Other Qualified Providers - Other Designated MH staff that bill medical]])</f>
        <v>0</v>
      </c>
    </row>
    <row r="135" spans="1:18" x14ac:dyDescent="0.25">
      <c r="A135" s="6" t="str">
        <f>INDEX(CodeMinutesTable[Frequently Used],MATCH(RevenueTable[[#This Row],[Billing Code]],CodeMinutesTable[Code],0))</f>
        <v>Yes</v>
      </c>
      <c r="B135" s="3" t="s">
        <v>304</v>
      </c>
      <c r="C135" t="s">
        <v>305</v>
      </c>
      <c r="D135" s="6">
        <f>UnitsTable[[#This Row],[Psychiatrist/ Contracted Psychiatrist]]*CodeRatesTable[[#This Row],[Psychiatrist/ Contracted Psychiatrist]]</f>
        <v>0</v>
      </c>
      <c r="E135" s="6">
        <f>UnitsTable[[#This Row],[Physicians Assistant]]*CodeRatesTable[[#This Row],[Physicians Assistant]]</f>
        <v>0</v>
      </c>
      <c r="F135" s="6">
        <f>UnitsTable[[#This Row],[Nurse Practitioner]]*CodeRatesTable[[#This Row],[Nurse Practitioner]]</f>
        <v>0</v>
      </c>
      <c r="G135" s="6">
        <f>UnitsTable[[#This Row],[RN]]*CodeRatesTable[[#This Row],[RN]]</f>
        <v>0</v>
      </c>
      <c r="H135" s="6">
        <f>UnitsTable[[#This Row],[Certified Nurse Specialist]]*CodeRatesTable[[#This Row],[Certified Nurse Specialist]]</f>
        <v>0</v>
      </c>
      <c r="I135" s="6">
        <f>UnitsTable[[#This Row],[LVN]]*CodeRatesTable[[#This Row],[LVN]]</f>
        <v>0</v>
      </c>
      <c r="J135" s="6">
        <f>UnitsTable[[#This Row],[Pharmacist]]*CodeRatesTable[[#This Row],[Pharmacist]]</f>
        <v>0</v>
      </c>
      <c r="K135" s="6">
        <f>UnitsTable[[#This Row],[Licensed Psychiatric Technician]]*CodeRatesTable[[#This Row],[Licensed Psychiatric Technician]]</f>
        <v>0</v>
      </c>
      <c r="L135" s="6">
        <f>UnitsTable[[#This Row],[Psychologist/Pre-licensed Psychologist]]*CodeRatesTable[[#This Row],[Psychologist/Pre-licensed Psychologist]]</f>
        <v>0</v>
      </c>
      <c r="M135" s="6">
        <f>UnitsTable[[#This Row],[LPHA (MFT  LCSW  LPCC)/ Intern or Waivered LPHA (MFT  LCSW  LPCC)]]*CodeRatesTable[[#This Row],[LPHA (MFT  LCSW  LPCC)/ Intern or Waivered LPHA (MFT  LCSW  LPCC)]]</f>
        <v>0</v>
      </c>
      <c r="N135" s="6">
        <f>UnitsTable[[#This Row],[Occupational Therapist]]*CodeRatesTable[[#This Row],[Occupational Therapist]]</f>
        <v>0</v>
      </c>
      <c r="O135" s="6">
        <f>UnitsTable[[#This Row],[Mental Health Rehab Specialist]]*CodeRatesTable[[#This Row],[Mental Health Rehab Specialist]]</f>
        <v>0</v>
      </c>
      <c r="P135" s="6">
        <f>UnitsTable[[#This Row],[Peer Recovery Specialist]]*CodeRatesTable[[#This Row],[Peer Recovery Specialist]]</f>
        <v>0</v>
      </c>
      <c r="Q135" s="6">
        <f>UnitsTable[[#This Row],[Other Qualified Providers - Other Designated MH staff that bill medical]]*CodeRatesTable[[#This Row],[Other Qualified Providers - Other Designated MH staff that bill medical]]</f>
        <v>0</v>
      </c>
      <c r="R135" s="6">
        <f>SUM(RevenueTable[[#This Row],[Psychiatrist/ Contracted Psychiatrist]:[Other Qualified Providers - Other Designated MH staff that bill medical]])</f>
        <v>0</v>
      </c>
    </row>
    <row r="136" spans="1:18" x14ac:dyDescent="0.25">
      <c r="A136" s="6" t="str">
        <f>INDEX(CodeMinutesTable[Frequently Used],MATCH(RevenueTable[[#This Row],[Billing Code]],CodeMinutesTable[Code],0))</f>
        <v>Yes</v>
      </c>
      <c r="B136" s="3" t="s">
        <v>306</v>
      </c>
      <c r="C136" t="s">
        <v>307</v>
      </c>
      <c r="D136" s="6">
        <f>UnitsTable[[#This Row],[Psychiatrist/ Contracted Psychiatrist]]*CodeRatesTable[[#This Row],[Psychiatrist/ Contracted Psychiatrist]]</f>
        <v>0</v>
      </c>
      <c r="E136" s="6">
        <f>UnitsTable[[#This Row],[Physicians Assistant]]*CodeRatesTable[[#This Row],[Physicians Assistant]]</f>
        <v>0</v>
      </c>
      <c r="F136" s="6">
        <f>UnitsTable[[#This Row],[Nurse Practitioner]]*CodeRatesTable[[#This Row],[Nurse Practitioner]]</f>
        <v>0</v>
      </c>
      <c r="G136" s="6">
        <f>UnitsTable[[#This Row],[RN]]*CodeRatesTable[[#This Row],[RN]]</f>
        <v>0</v>
      </c>
      <c r="H136" s="6">
        <f>UnitsTable[[#This Row],[Certified Nurse Specialist]]*CodeRatesTable[[#This Row],[Certified Nurse Specialist]]</f>
        <v>0</v>
      </c>
      <c r="I136" s="6">
        <f>UnitsTable[[#This Row],[LVN]]*CodeRatesTable[[#This Row],[LVN]]</f>
        <v>0</v>
      </c>
      <c r="J136" s="6">
        <f>UnitsTable[[#This Row],[Pharmacist]]*CodeRatesTable[[#This Row],[Pharmacist]]</f>
        <v>0</v>
      </c>
      <c r="K136" s="6">
        <f>UnitsTable[[#This Row],[Licensed Psychiatric Technician]]*CodeRatesTable[[#This Row],[Licensed Psychiatric Technician]]</f>
        <v>0</v>
      </c>
      <c r="L136" s="6">
        <f>UnitsTable[[#This Row],[Psychologist/Pre-licensed Psychologist]]*CodeRatesTable[[#This Row],[Psychologist/Pre-licensed Psychologist]]</f>
        <v>0</v>
      </c>
      <c r="M136" s="6">
        <f>UnitsTable[[#This Row],[LPHA (MFT  LCSW  LPCC)/ Intern or Waivered LPHA (MFT  LCSW  LPCC)]]*CodeRatesTable[[#This Row],[LPHA (MFT  LCSW  LPCC)/ Intern or Waivered LPHA (MFT  LCSW  LPCC)]]</f>
        <v>0</v>
      </c>
      <c r="N136" s="6">
        <f>UnitsTable[[#This Row],[Occupational Therapist]]*CodeRatesTable[[#This Row],[Occupational Therapist]]</f>
        <v>0</v>
      </c>
      <c r="O136" s="6">
        <f>UnitsTable[[#This Row],[Mental Health Rehab Specialist]]*CodeRatesTable[[#This Row],[Mental Health Rehab Specialist]]</f>
        <v>0</v>
      </c>
      <c r="P136" s="6">
        <f>UnitsTable[[#This Row],[Peer Recovery Specialist]]*CodeRatesTable[[#This Row],[Peer Recovery Specialist]]</f>
        <v>0</v>
      </c>
      <c r="Q136" s="6">
        <f>UnitsTable[[#This Row],[Other Qualified Providers - Other Designated MH staff that bill medical]]*CodeRatesTable[[#This Row],[Other Qualified Providers - Other Designated MH staff that bill medical]]</f>
        <v>0</v>
      </c>
      <c r="R136" s="6">
        <f>SUM(RevenueTable[[#This Row],[Psychiatrist/ Contracted Psychiatrist]:[Other Qualified Providers - Other Designated MH staff that bill medical]])</f>
        <v>0</v>
      </c>
    </row>
    <row r="137" spans="1:18" hidden="1" x14ac:dyDescent="0.25">
      <c r="A137" s="6" t="str">
        <f>INDEX(CodeMinutesTable[Frequently Used],MATCH(RevenueTable[[#This Row],[Billing Code]],CodeMinutesTable[Code],0))</f>
        <v>No</v>
      </c>
      <c r="B137" s="3" t="s">
        <v>308</v>
      </c>
      <c r="C137" t="s">
        <v>309</v>
      </c>
      <c r="D137" s="6">
        <f>UnitsTable[[#This Row],[Psychiatrist/ Contracted Psychiatrist]]*CodeRatesTable[[#This Row],[Psychiatrist/ Contracted Psychiatrist]]</f>
        <v>0</v>
      </c>
      <c r="E137" s="6">
        <f>UnitsTable[[#This Row],[Physicians Assistant]]*CodeRatesTable[[#This Row],[Physicians Assistant]]</f>
        <v>0</v>
      </c>
      <c r="F137" s="6">
        <f>UnitsTable[[#This Row],[Nurse Practitioner]]*CodeRatesTable[[#This Row],[Nurse Practitioner]]</f>
        <v>0</v>
      </c>
      <c r="G137" s="6">
        <f>UnitsTable[[#This Row],[RN]]*CodeRatesTable[[#This Row],[RN]]</f>
        <v>0</v>
      </c>
      <c r="H137" s="6">
        <f>UnitsTable[[#This Row],[Certified Nurse Specialist]]*CodeRatesTable[[#This Row],[Certified Nurse Specialist]]</f>
        <v>0</v>
      </c>
      <c r="I137" s="6">
        <f>UnitsTable[[#This Row],[LVN]]*CodeRatesTable[[#This Row],[LVN]]</f>
        <v>0</v>
      </c>
      <c r="J137" s="6">
        <f>UnitsTable[[#This Row],[Pharmacist]]*CodeRatesTable[[#This Row],[Pharmacist]]</f>
        <v>0</v>
      </c>
      <c r="K137" s="6">
        <f>UnitsTable[[#This Row],[Licensed Psychiatric Technician]]*CodeRatesTable[[#This Row],[Licensed Psychiatric Technician]]</f>
        <v>0</v>
      </c>
      <c r="L137" s="6">
        <f>UnitsTable[[#This Row],[Psychologist/Pre-licensed Psychologist]]*CodeRatesTable[[#This Row],[Psychologist/Pre-licensed Psychologist]]</f>
        <v>0</v>
      </c>
      <c r="M137" s="6">
        <f>UnitsTable[[#This Row],[LPHA (MFT  LCSW  LPCC)/ Intern or Waivered LPHA (MFT  LCSW  LPCC)]]*CodeRatesTable[[#This Row],[LPHA (MFT  LCSW  LPCC)/ Intern or Waivered LPHA (MFT  LCSW  LPCC)]]</f>
        <v>0</v>
      </c>
      <c r="N137" s="6">
        <f>UnitsTable[[#This Row],[Occupational Therapist]]*CodeRatesTable[[#This Row],[Occupational Therapist]]</f>
        <v>0</v>
      </c>
      <c r="O137" s="6">
        <f>UnitsTable[[#This Row],[Mental Health Rehab Specialist]]*CodeRatesTable[[#This Row],[Mental Health Rehab Specialist]]</f>
        <v>0</v>
      </c>
      <c r="P137" s="6">
        <f>UnitsTable[[#This Row],[Peer Recovery Specialist]]*CodeRatesTable[[#This Row],[Peer Recovery Specialist]]</f>
        <v>0</v>
      </c>
      <c r="Q137" s="6">
        <f>UnitsTable[[#This Row],[Other Qualified Providers - Other Designated MH staff that bill medical]]*CodeRatesTable[[#This Row],[Other Qualified Providers - Other Designated MH staff that bill medical]]</f>
        <v>0</v>
      </c>
      <c r="R137" s="6">
        <f>SUM(RevenueTable[[#This Row],[Psychiatrist/ Contracted Psychiatrist]:[Other Qualified Providers - Other Designated MH staff that bill medical]])</f>
        <v>0</v>
      </c>
    </row>
    <row r="138" spans="1:18" hidden="1" x14ac:dyDescent="0.25">
      <c r="A138" s="6" t="str">
        <f>INDEX(CodeMinutesTable[Frequently Used],MATCH(RevenueTable[[#This Row],[Billing Code]],CodeMinutesTable[Code],0))</f>
        <v>No</v>
      </c>
      <c r="B138" s="3" t="s">
        <v>310</v>
      </c>
      <c r="C138" t="s">
        <v>311</v>
      </c>
      <c r="D138" s="6">
        <f>UnitsTable[[#This Row],[Psychiatrist/ Contracted Psychiatrist]]*CodeRatesTable[[#This Row],[Psychiatrist/ Contracted Psychiatrist]]</f>
        <v>0</v>
      </c>
      <c r="E138" s="6">
        <f>UnitsTable[[#This Row],[Physicians Assistant]]*CodeRatesTable[[#This Row],[Physicians Assistant]]</f>
        <v>0</v>
      </c>
      <c r="F138" s="6">
        <f>UnitsTable[[#This Row],[Nurse Practitioner]]*CodeRatesTable[[#This Row],[Nurse Practitioner]]</f>
        <v>0</v>
      </c>
      <c r="G138" s="6">
        <f>UnitsTable[[#This Row],[RN]]*CodeRatesTable[[#This Row],[RN]]</f>
        <v>0</v>
      </c>
      <c r="H138" s="6">
        <f>UnitsTable[[#This Row],[Certified Nurse Specialist]]*CodeRatesTable[[#This Row],[Certified Nurse Specialist]]</f>
        <v>0</v>
      </c>
      <c r="I138" s="6">
        <f>UnitsTable[[#This Row],[LVN]]*CodeRatesTable[[#This Row],[LVN]]</f>
        <v>0</v>
      </c>
      <c r="J138" s="6">
        <f>UnitsTable[[#This Row],[Pharmacist]]*CodeRatesTable[[#This Row],[Pharmacist]]</f>
        <v>0</v>
      </c>
      <c r="K138" s="6">
        <f>UnitsTable[[#This Row],[Licensed Psychiatric Technician]]*CodeRatesTable[[#This Row],[Licensed Psychiatric Technician]]</f>
        <v>0</v>
      </c>
      <c r="L138" s="6">
        <f>UnitsTable[[#This Row],[Psychologist/Pre-licensed Psychologist]]*CodeRatesTable[[#This Row],[Psychologist/Pre-licensed Psychologist]]</f>
        <v>0</v>
      </c>
      <c r="M138" s="6">
        <f>UnitsTable[[#This Row],[LPHA (MFT  LCSW  LPCC)/ Intern or Waivered LPHA (MFT  LCSW  LPCC)]]*CodeRatesTable[[#This Row],[LPHA (MFT  LCSW  LPCC)/ Intern or Waivered LPHA (MFT  LCSW  LPCC)]]</f>
        <v>0</v>
      </c>
      <c r="N138" s="6">
        <f>UnitsTable[[#This Row],[Occupational Therapist]]*CodeRatesTable[[#This Row],[Occupational Therapist]]</f>
        <v>0</v>
      </c>
      <c r="O138" s="6">
        <f>UnitsTable[[#This Row],[Mental Health Rehab Specialist]]*CodeRatesTable[[#This Row],[Mental Health Rehab Specialist]]</f>
        <v>0</v>
      </c>
      <c r="P138" s="6">
        <f>UnitsTable[[#This Row],[Peer Recovery Specialist]]*CodeRatesTable[[#This Row],[Peer Recovery Specialist]]</f>
        <v>0</v>
      </c>
      <c r="Q138" s="6">
        <f>UnitsTable[[#This Row],[Other Qualified Providers - Other Designated MH staff that bill medical]]*CodeRatesTable[[#This Row],[Other Qualified Providers - Other Designated MH staff that bill medical]]</f>
        <v>0</v>
      </c>
      <c r="R138" s="6">
        <f>SUM(RevenueTable[[#This Row],[Psychiatrist/ Contracted Psychiatrist]:[Other Qualified Providers - Other Designated MH staff that bill medical]])</f>
        <v>0</v>
      </c>
    </row>
    <row r="139" spans="1:18" hidden="1" x14ac:dyDescent="0.25">
      <c r="A139" s="6" t="str">
        <f>INDEX(CodeMinutesTable[Frequently Used],MATCH(RevenueTable[[#This Row],[Billing Code]],CodeMinutesTable[Code],0))</f>
        <v>No</v>
      </c>
      <c r="B139" s="3" t="s">
        <v>312</v>
      </c>
      <c r="C139" t="s">
        <v>313</v>
      </c>
      <c r="D139" s="6">
        <f>UnitsTable[[#This Row],[Psychiatrist/ Contracted Psychiatrist]]*CodeRatesTable[[#This Row],[Psychiatrist/ Contracted Psychiatrist]]</f>
        <v>0</v>
      </c>
      <c r="E139" s="6">
        <f>UnitsTable[[#This Row],[Physicians Assistant]]*CodeRatesTable[[#This Row],[Physicians Assistant]]</f>
        <v>0</v>
      </c>
      <c r="F139" s="6">
        <f>UnitsTable[[#This Row],[Nurse Practitioner]]*CodeRatesTable[[#This Row],[Nurse Practitioner]]</f>
        <v>0</v>
      </c>
      <c r="G139" s="6">
        <f>UnitsTable[[#This Row],[RN]]*CodeRatesTable[[#This Row],[RN]]</f>
        <v>0</v>
      </c>
      <c r="H139" s="6">
        <f>UnitsTable[[#This Row],[Certified Nurse Specialist]]*CodeRatesTable[[#This Row],[Certified Nurse Specialist]]</f>
        <v>0</v>
      </c>
      <c r="I139" s="6">
        <f>UnitsTable[[#This Row],[LVN]]*CodeRatesTable[[#This Row],[LVN]]</f>
        <v>0</v>
      </c>
      <c r="J139" s="6">
        <f>UnitsTable[[#This Row],[Pharmacist]]*CodeRatesTable[[#This Row],[Pharmacist]]</f>
        <v>0</v>
      </c>
      <c r="K139" s="6">
        <f>UnitsTable[[#This Row],[Licensed Psychiatric Technician]]*CodeRatesTable[[#This Row],[Licensed Psychiatric Technician]]</f>
        <v>0</v>
      </c>
      <c r="L139" s="6">
        <f>UnitsTable[[#This Row],[Psychologist/Pre-licensed Psychologist]]*CodeRatesTable[[#This Row],[Psychologist/Pre-licensed Psychologist]]</f>
        <v>0</v>
      </c>
      <c r="M139" s="6">
        <f>UnitsTable[[#This Row],[LPHA (MFT  LCSW  LPCC)/ Intern or Waivered LPHA (MFT  LCSW  LPCC)]]*CodeRatesTable[[#This Row],[LPHA (MFT  LCSW  LPCC)/ Intern or Waivered LPHA (MFT  LCSW  LPCC)]]</f>
        <v>0</v>
      </c>
      <c r="N139" s="6">
        <f>UnitsTable[[#This Row],[Occupational Therapist]]*CodeRatesTable[[#This Row],[Occupational Therapist]]</f>
        <v>0</v>
      </c>
      <c r="O139" s="6">
        <f>UnitsTable[[#This Row],[Mental Health Rehab Specialist]]*CodeRatesTable[[#This Row],[Mental Health Rehab Specialist]]</f>
        <v>0</v>
      </c>
      <c r="P139" s="6">
        <f>UnitsTable[[#This Row],[Peer Recovery Specialist]]*CodeRatesTable[[#This Row],[Peer Recovery Specialist]]</f>
        <v>0</v>
      </c>
      <c r="Q139" s="6">
        <f>UnitsTable[[#This Row],[Other Qualified Providers - Other Designated MH staff that bill medical]]*CodeRatesTable[[#This Row],[Other Qualified Providers - Other Designated MH staff that bill medical]]</f>
        <v>0</v>
      </c>
      <c r="R139" s="6">
        <f>SUM(RevenueTable[[#This Row],[Psychiatrist/ Contracted Psychiatrist]:[Other Qualified Providers - Other Designated MH staff that bill medical]])</f>
        <v>0</v>
      </c>
    </row>
    <row r="140" spans="1:18" x14ac:dyDescent="0.25">
      <c r="A140" s="6" t="str">
        <f>INDEX(CodeMinutesTable[Frequently Used],MATCH(RevenueTable[[#This Row],[Billing Code]],CodeMinutesTable[Code],0))</f>
        <v>Yes</v>
      </c>
      <c r="B140" s="3" t="s">
        <v>314</v>
      </c>
      <c r="C140" t="s">
        <v>315</v>
      </c>
      <c r="D140" s="6">
        <f>UnitsTable[[#This Row],[Psychiatrist/ Contracted Psychiatrist]]*CodeRatesTable[[#This Row],[Psychiatrist/ Contracted Psychiatrist]]</f>
        <v>0</v>
      </c>
      <c r="E140" s="6">
        <f>UnitsTable[[#This Row],[Physicians Assistant]]*CodeRatesTable[[#This Row],[Physicians Assistant]]</f>
        <v>0</v>
      </c>
      <c r="F140" s="6">
        <f>UnitsTable[[#This Row],[Nurse Practitioner]]*CodeRatesTable[[#This Row],[Nurse Practitioner]]</f>
        <v>0</v>
      </c>
      <c r="G140" s="6">
        <f>UnitsTable[[#This Row],[RN]]*CodeRatesTable[[#This Row],[RN]]</f>
        <v>0</v>
      </c>
      <c r="H140" s="6">
        <f>UnitsTable[[#This Row],[Certified Nurse Specialist]]*CodeRatesTable[[#This Row],[Certified Nurse Specialist]]</f>
        <v>0</v>
      </c>
      <c r="I140" s="6">
        <f>UnitsTable[[#This Row],[LVN]]*CodeRatesTable[[#This Row],[LVN]]</f>
        <v>0</v>
      </c>
      <c r="J140" s="6">
        <f>UnitsTable[[#This Row],[Pharmacist]]*CodeRatesTable[[#This Row],[Pharmacist]]</f>
        <v>0</v>
      </c>
      <c r="K140" s="6">
        <f>UnitsTable[[#This Row],[Licensed Psychiatric Technician]]*CodeRatesTable[[#This Row],[Licensed Psychiatric Technician]]</f>
        <v>0</v>
      </c>
      <c r="L140" s="6">
        <f>UnitsTable[[#This Row],[Psychologist/Pre-licensed Psychologist]]*CodeRatesTable[[#This Row],[Psychologist/Pre-licensed Psychologist]]</f>
        <v>0</v>
      </c>
      <c r="M140" s="6">
        <f>UnitsTable[[#This Row],[LPHA (MFT  LCSW  LPCC)/ Intern or Waivered LPHA (MFT  LCSW  LPCC)]]*CodeRatesTable[[#This Row],[LPHA (MFT  LCSW  LPCC)/ Intern or Waivered LPHA (MFT  LCSW  LPCC)]]</f>
        <v>0</v>
      </c>
      <c r="N140" s="6">
        <f>UnitsTable[[#This Row],[Occupational Therapist]]*CodeRatesTable[[#This Row],[Occupational Therapist]]</f>
        <v>0</v>
      </c>
      <c r="O140" s="6">
        <f>UnitsTable[[#This Row],[Mental Health Rehab Specialist]]*CodeRatesTable[[#This Row],[Mental Health Rehab Specialist]]</f>
        <v>0</v>
      </c>
      <c r="P140" s="6">
        <f>UnitsTable[[#This Row],[Peer Recovery Specialist]]*CodeRatesTable[[#This Row],[Peer Recovery Specialist]]</f>
        <v>0</v>
      </c>
      <c r="Q140" s="6">
        <f>UnitsTable[[#This Row],[Other Qualified Providers - Other Designated MH staff that bill medical]]*CodeRatesTable[[#This Row],[Other Qualified Providers - Other Designated MH staff that bill medical]]</f>
        <v>0</v>
      </c>
      <c r="R140" s="6">
        <f>SUM(RevenueTable[[#This Row],[Psychiatrist/ Contracted Psychiatrist]:[Other Qualified Providers - Other Designated MH staff that bill medical]])</f>
        <v>0</v>
      </c>
    </row>
    <row r="141" spans="1:18" x14ac:dyDescent="0.25">
      <c r="A141" s="3"/>
      <c r="B141" s="3" t="s">
        <v>38</v>
      </c>
      <c r="D141" s="6">
        <f>SUBTOTAL(109,RevenueTable[Psychiatrist/ Contracted Psychiatrist])</f>
        <v>0</v>
      </c>
      <c r="E141" s="6">
        <f>SUBTOTAL(109,RevenueTable[Physicians Assistant])</f>
        <v>0</v>
      </c>
      <c r="F141" s="6">
        <f>SUBTOTAL(109,RevenueTable[Nurse Practitioner])</f>
        <v>0</v>
      </c>
      <c r="G141" s="6">
        <f>SUBTOTAL(109,RevenueTable[RN])</f>
        <v>0</v>
      </c>
      <c r="H141" s="6">
        <f>SUBTOTAL(109,RevenueTable[Certified Nurse Specialist])</f>
        <v>0</v>
      </c>
      <c r="I141" s="6">
        <f>SUBTOTAL(109,RevenueTable[LVN])</f>
        <v>0</v>
      </c>
      <c r="J141" s="6">
        <f>SUBTOTAL(109,RevenueTable[Pharmacist])</f>
        <v>0</v>
      </c>
      <c r="K141" s="6">
        <f>SUBTOTAL(109,RevenueTable[Licensed Psychiatric Technician])</f>
        <v>0</v>
      </c>
      <c r="L141" s="6">
        <f>SUBTOTAL(109,RevenueTable[Psychologist/Pre-licensed Psychologist])</f>
        <v>0</v>
      </c>
      <c r="M141" s="6">
        <f>SUBTOTAL(109,RevenueTable[LPHA (MFT  LCSW  LPCC)/ Intern or Waivered LPHA (MFT  LCSW  LPCC)])</f>
        <v>0</v>
      </c>
      <c r="N141" s="6">
        <f>SUBTOTAL(109,RevenueTable[Occupational Therapist])</f>
        <v>0</v>
      </c>
      <c r="O141" s="6">
        <f>SUBTOTAL(109,RevenueTable[Mental Health Rehab Specialist])</f>
        <v>0</v>
      </c>
      <c r="P141" s="6">
        <f>SUBTOTAL(109,RevenueTable[Peer Recovery Specialist])</f>
        <v>0</v>
      </c>
      <c r="Q141" s="6">
        <f>SUBTOTAL(109,RevenueTable[Other Qualified Providers - Other Designated MH staff that bill medical])</f>
        <v>0</v>
      </c>
      <c r="R141" s="12">
        <f>SUBTOTAL(109,RevenueTable[Total])</f>
        <v>0</v>
      </c>
    </row>
  </sheetData>
  <sheetProtection sheet="1" formatCells="0" formatColumns="0" formatRows="0" sort="0" autoFilter="0"/>
  <pageMargins left="0.7" right="0.7" top="0.75" bottom="0.75" header="0.3" footer="0.3"/>
  <pageSetup orientation="portrait" horizontalDpi="300" verticalDpi="3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FC1DD-756B-4A4C-BE09-1554E61F58E5}">
  <dimension ref="A1:Q140"/>
  <sheetViews>
    <sheetView workbookViewId="0">
      <pane xSplit="3" ySplit="1" topLeftCell="D2" activePane="bottomRight" state="frozen"/>
      <selection pane="topRight" activeCell="D1" sqref="D1"/>
      <selection pane="bottomLeft" activeCell="A2" sqref="A2"/>
      <selection pane="bottomRight" sqref="A1:XFD1"/>
    </sheetView>
  </sheetViews>
  <sheetFormatPr defaultRowHeight="15" x14ac:dyDescent="0.25"/>
  <cols>
    <col min="1" max="2" width="10.7109375" customWidth="1"/>
    <col min="3" max="3" width="60.7109375" customWidth="1"/>
    <col min="4" max="18" width="25.7109375" customWidth="1"/>
  </cols>
  <sheetData>
    <row r="1" spans="1:17" s="1" customFormat="1" ht="45" customHeight="1" x14ac:dyDescent="0.25">
      <c r="A1" s="1" t="s">
        <v>23</v>
      </c>
      <c r="B1" s="1" t="s">
        <v>24</v>
      </c>
      <c r="C1" s="1" t="s">
        <v>25</v>
      </c>
      <c r="D1" s="1" t="s">
        <v>26</v>
      </c>
      <c r="E1" s="1" t="s">
        <v>27</v>
      </c>
      <c r="F1" s="1" t="s">
        <v>28</v>
      </c>
      <c r="G1" s="1" t="s">
        <v>29</v>
      </c>
      <c r="H1" s="1" t="s">
        <v>359</v>
      </c>
      <c r="I1" s="1" t="s">
        <v>30</v>
      </c>
      <c r="J1" s="1" t="s">
        <v>31</v>
      </c>
      <c r="K1" s="1" t="s">
        <v>32</v>
      </c>
      <c r="L1" s="1" t="s">
        <v>33</v>
      </c>
      <c r="M1" s="1" t="s">
        <v>360</v>
      </c>
      <c r="N1" s="1" t="s">
        <v>34</v>
      </c>
      <c r="O1" s="1" t="s">
        <v>35</v>
      </c>
      <c r="P1" s="1" t="s">
        <v>36</v>
      </c>
      <c r="Q1" s="1" t="s">
        <v>37</v>
      </c>
    </row>
    <row r="2" spans="1:17" x14ac:dyDescent="0.25">
      <c r="A2" s="3" t="str">
        <f>INDEX(CodeMinutesTable[Frequently Used],MATCH(CodeRatesTable[[#This Row],[Billing Code]],CodeMinutesTable[Code],0))</f>
        <v>Yes</v>
      </c>
      <c r="B2" s="3" t="s">
        <v>39</v>
      </c>
      <c r="C2" t="s">
        <v>40</v>
      </c>
      <c r="D2" s="6">
        <f>VLOOKUP($B2, CodeMinutesTable[[Code]:[Minutes]], 3, FALSE) * VLOOKUP(D$1, ProviderRatesTable[], 3, FALSE)</f>
        <v>425</v>
      </c>
      <c r="E2" s="6">
        <f>VLOOKUP($B2, CodeMinutesTable[[Code]:[Minutes]], 3, FALSE) * VLOOKUP(E$1, ProviderRatesTable[], 3, FALSE)</f>
        <v>400</v>
      </c>
      <c r="F2" s="6">
        <f>VLOOKUP($B2, CodeMinutesTable[[Code]:[Minutes]], 3, FALSE) * VLOOKUP(F$1, ProviderRatesTable[], 3, FALSE)</f>
        <v>375</v>
      </c>
      <c r="G2" s="6">
        <f>VLOOKUP($B2, CodeMinutesTable[[Code]:[Minutes]], 3, FALSE) * VLOOKUP(G$1, ProviderRatesTable[], 3, FALSE)</f>
        <v>350</v>
      </c>
      <c r="H2" s="6">
        <f>VLOOKUP($B2, CodeMinutesTable[[Code]:[Minutes]], 3, FALSE) * VLOOKUP(H$1, ProviderRatesTable[], 3, FALSE)</f>
        <v>325</v>
      </c>
      <c r="I2" s="6">
        <f>VLOOKUP($B2, CodeMinutesTable[[Code]:[Minutes]], 3, FALSE) * VLOOKUP(I$1, ProviderRatesTable[], 3, FALSE)</f>
        <v>300</v>
      </c>
      <c r="J2" s="6">
        <f>VLOOKUP($B2, CodeMinutesTable[[Code]:[Minutes]], 3, FALSE) * VLOOKUP(J$1, ProviderRatesTable[], 3, FALSE)</f>
        <v>275</v>
      </c>
      <c r="K2" s="6">
        <f>VLOOKUP($B2, CodeMinutesTable[[Code]:[Minutes]], 3, FALSE) * VLOOKUP(K$1, ProviderRatesTable[], 3, FALSE)</f>
        <v>250.00000000000003</v>
      </c>
      <c r="L2" s="6">
        <f>VLOOKUP($B2, CodeMinutesTable[[Code]:[Minutes]], 3, FALSE) * VLOOKUP(L$1, ProviderRatesTable[], 3, FALSE)</f>
        <v>225</v>
      </c>
      <c r="M2" s="6">
        <f>VLOOKUP($B2, CodeMinutesTable[[Code]:[Minutes]], 3, FALSE) * VLOOKUP(M$1, ProviderRatesTable[], 3, FALSE)</f>
        <v>200</v>
      </c>
      <c r="N2" s="6">
        <f>VLOOKUP($B2, CodeMinutesTable[[Code]:[Minutes]], 3, FALSE) * VLOOKUP(N$1, ProviderRatesTable[], 3, FALSE)</f>
        <v>175</v>
      </c>
      <c r="O2" s="6">
        <f>VLOOKUP($B2, CodeMinutesTable[[Code]:[Minutes]], 3, FALSE) * VLOOKUP(O$1, ProviderRatesTable[], 3, FALSE)</f>
        <v>150</v>
      </c>
      <c r="P2" s="6">
        <f>VLOOKUP($B2, CodeMinutesTable[[Code]:[Minutes]], 3, FALSE) * VLOOKUP(P$1, ProviderRatesTable[], 3, FALSE)</f>
        <v>100</v>
      </c>
      <c r="Q2" s="6">
        <f>VLOOKUP($B2, CodeMinutesTable[[Code]:[Minutes]], 3, FALSE) * VLOOKUP(Q$1, ProviderRatesTable[], 3, FALSE)</f>
        <v>75</v>
      </c>
    </row>
    <row r="3" spans="1:17" x14ac:dyDescent="0.25">
      <c r="A3" s="3" t="str">
        <f>INDEX(CodeMinutesTable[Frequently Used],MATCH(CodeRatesTable[[#This Row],[Billing Code]],CodeMinutesTable[Code],0))</f>
        <v>Yes</v>
      </c>
      <c r="B3" s="3" t="s">
        <v>41</v>
      </c>
      <c r="C3" t="s">
        <v>42</v>
      </c>
      <c r="D3" s="6">
        <f>VLOOKUP($B3, CodeMinutesTable[[Code]:[Minutes]], 3, FALSE) * VLOOKUP(D$1, ProviderRatesTable[], 3, FALSE)</f>
        <v>425</v>
      </c>
      <c r="E3" s="6">
        <f>VLOOKUP($B3, CodeMinutesTable[[Code]:[Minutes]], 3, FALSE) * VLOOKUP(E$1, ProviderRatesTable[], 3, FALSE)</f>
        <v>400</v>
      </c>
      <c r="F3" s="6">
        <f>VLOOKUP($B3, CodeMinutesTable[[Code]:[Minutes]], 3, FALSE) * VLOOKUP(F$1, ProviderRatesTable[], 3, FALSE)</f>
        <v>375</v>
      </c>
      <c r="G3" s="6">
        <f>VLOOKUP($B3, CodeMinutesTable[[Code]:[Minutes]], 3, FALSE) * VLOOKUP(G$1, ProviderRatesTable[], 3, FALSE)</f>
        <v>350</v>
      </c>
      <c r="H3" s="6">
        <f>VLOOKUP($B3, CodeMinutesTable[[Code]:[Minutes]], 3, FALSE) * VLOOKUP(H$1, ProviderRatesTable[], 3, FALSE)</f>
        <v>325</v>
      </c>
      <c r="I3" s="6">
        <f>VLOOKUP($B3, CodeMinutesTable[[Code]:[Minutes]], 3, FALSE) * VLOOKUP(I$1, ProviderRatesTable[], 3, FALSE)</f>
        <v>300</v>
      </c>
      <c r="J3" s="6">
        <f>VLOOKUP($B3, CodeMinutesTable[[Code]:[Minutes]], 3, FALSE) * VLOOKUP(J$1, ProviderRatesTable[], 3, FALSE)</f>
        <v>275</v>
      </c>
      <c r="K3" s="6">
        <f>VLOOKUP($B3, CodeMinutesTable[[Code]:[Minutes]], 3, FALSE) * VLOOKUP(K$1, ProviderRatesTable[], 3, FALSE)</f>
        <v>250.00000000000003</v>
      </c>
      <c r="L3" s="6">
        <f>VLOOKUP($B3, CodeMinutesTable[[Code]:[Minutes]], 3, FALSE) * VLOOKUP(L$1, ProviderRatesTable[], 3, FALSE)</f>
        <v>225</v>
      </c>
      <c r="M3" s="6">
        <f>VLOOKUP($B3, CodeMinutesTable[[Code]:[Minutes]], 3, FALSE) * VLOOKUP(M$1, ProviderRatesTable[], 3, FALSE)</f>
        <v>200</v>
      </c>
      <c r="N3" s="6">
        <f>VLOOKUP($B3, CodeMinutesTable[[Code]:[Minutes]], 3, FALSE) * VLOOKUP(N$1, ProviderRatesTable[], 3, FALSE)</f>
        <v>175</v>
      </c>
      <c r="O3" s="6">
        <f>VLOOKUP($B3, CodeMinutesTable[[Code]:[Minutes]], 3, FALSE) * VLOOKUP(O$1, ProviderRatesTable[], 3, FALSE)</f>
        <v>150</v>
      </c>
      <c r="P3" s="6">
        <f>VLOOKUP($B3, CodeMinutesTable[[Code]:[Minutes]], 3, FALSE) * VLOOKUP(P$1, ProviderRatesTable[], 3, FALSE)</f>
        <v>100</v>
      </c>
      <c r="Q3" s="6">
        <f>VLOOKUP($B3, CodeMinutesTable[[Code]:[Minutes]], 3, FALSE) * VLOOKUP(Q$1, ProviderRatesTable[], 3, FALSE)</f>
        <v>75</v>
      </c>
    </row>
    <row r="4" spans="1:17" x14ac:dyDescent="0.25">
      <c r="A4" s="3" t="str">
        <f>INDEX(CodeMinutesTable[Frequently Used],MATCH(CodeRatesTable[[#This Row],[Billing Code]],CodeMinutesTable[Code],0))</f>
        <v>Yes</v>
      </c>
      <c r="B4" s="3" t="s">
        <v>43</v>
      </c>
      <c r="C4" t="s">
        <v>44</v>
      </c>
      <c r="D4" s="6">
        <f>VLOOKUP($B4, CodeMinutesTable[[Code]:[Minutes]], 3, FALSE) * VLOOKUP(D$1, ProviderRatesTable[], 3, FALSE)</f>
        <v>425</v>
      </c>
      <c r="E4" s="6">
        <f>VLOOKUP($B4, CodeMinutesTable[[Code]:[Minutes]], 3, FALSE) * VLOOKUP(E$1, ProviderRatesTable[], 3, FALSE)</f>
        <v>400</v>
      </c>
      <c r="F4" s="6">
        <f>VLOOKUP($B4, CodeMinutesTable[[Code]:[Minutes]], 3, FALSE) * VLOOKUP(F$1, ProviderRatesTable[], 3, FALSE)</f>
        <v>375</v>
      </c>
      <c r="G4" s="6">
        <f>VLOOKUP($B4, CodeMinutesTable[[Code]:[Minutes]], 3, FALSE) * VLOOKUP(G$1, ProviderRatesTable[], 3, FALSE)</f>
        <v>350</v>
      </c>
      <c r="H4" s="6">
        <f>VLOOKUP($B4, CodeMinutesTable[[Code]:[Minutes]], 3, FALSE) * VLOOKUP(H$1, ProviderRatesTable[], 3, FALSE)</f>
        <v>325</v>
      </c>
      <c r="I4" s="6">
        <f>VLOOKUP($B4, CodeMinutesTable[[Code]:[Minutes]], 3, FALSE) * VLOOKUP(I$1, ProviderRatesTable[], 3, FALSE)</f>
        <v>300</v>
      </c>
      <c r="J4" s="6">
        <f>VLOOKUP($B4, CodeMinutesTable[[Code]:[Minutes]], 3, FALSE) * VLOOKUP(J$1, ProviderRatesTable[], 3, FALSE)</f>
        <v>275</v>
      </c>
      <c r="K4" s="6">
        <f>VLOOKUP($B4, CodeMinutesTable[[Code]:[Minutes]], 3, FALSE) * VLOOKUP(K$1, ProviderRatesTable[], 3, FALSE)</f>
        <v>250.00000000000003</v>
      </c>
      <c r="L4" s="6">
        <f>VLOOKUP($B4, CodeMinutesTable[[Code]:[Minutes]], 3, FALSE) * VLOOKUP(L$1, ProviderRatesTable[], 3, FALSE)</f>
        <v>225</v>
      </c>
      <c r="M4" s="6">
        <f>VLOOKUP($B4, CodeMinutesTable[[Code]:[Minutes]], 3, FALSE) * VLOOKUP(M$1, ProviderRatesTable[], 3, FALSE)</f>
        <v>200</v>
      </c>
      <c r="N4" s="6">
        <f>VLOOKUP($B4, CodeMinutesTable[[Code]:[Minutes]], 3, FALSE) * VLOOKUP(N$1, ProviderRatesTable[], 3, FALSE)</f>
        <v>175</v>
      </c>
      <c r="O4" s="6">
        <f>VLOOKUP($B4, CodeMinutesTable[[Code]:[Minutes]], 3, FALSE) * VLOOKUP(O$1, ProviderRatesTable[], 3, FALSE)</f>
        <v>150</v>
      </c>
      <c r="P4" s="6">
        <f>VLOOKUP($B4, CodeMinutesTable[[Code]:[Minutes]], 3, FALSE) * VLOOKUP(P$1, ProviderRatesTable[], 3, FALSE)</f>
        <v>100</v>
      </c>
      <c r="Q4" s="6">
        <f>VLOOKUP($B4, CodeMinutesTable[[Code]:[Minutes]], 3, FALSE) * VLOOKUP(Q$1, ProviderRatesTable[], 3, FALSE)</f>
        <v>75</v>
      </c>
    </row>
    <row r="5" spans="1:17" x14ac:dyDescent="0.25">
      <c r="A5" s="3" t="str">
        <f>INDEX(CodeMinutesTable[Frequently Used],MATCH(CodeRatesTable[[#This Row],[Billing Code]],CodeMinutesTable[Code],0))</f>
        <v>Yes</v>
      </c>
      <c r="B5" s="3" t="s">
        <v>45</v>
      </c>
      <c r="C5" t="s">
        <v>46</v>
      </c>
      <c r="D5" s="6">
        <f>VLOOKUP($B5, CodeMinutesTable[[Code]:[Minutes]], 3, FALSE) * VLOOKUP(D$1, ProviderRatesTable[], 3, FALSE)</f>
        <v>850</v>
      </c>
      <c r="E5" s="6">
        <f>VLOOKUP($B5, CodeMinutesTable[[Code]:[Minutes]], 3, FALSE) * VLOOKUP(E$1, ProviderRatesTable[], 3, FALSE)</f>
        <v>800</v>
      </c>
      <c r="F5" s="6">
        <f>VLOOKUP($B5, CodeMinutesTable[[Code]:[Minutes]], 3, FALSE) * VLOOKUP(F$1, ProviderRatesTable[], 3, FALSE)</f>
        <v>750</v>
      </c>
      <c r="G5" s="6">
        <f>VLOOKUP($B5, CodeMinutesTable[[Code]:[Minutes]], 3, FALSE) * VLOOKUP(G$1, ProviderRatesTable[], 3, FALSE)</f>
        <v>700</v>
      </c>
      <c r="H5" s="6">
        <f>VLOOKUP($B5, CodeMinutesTable[[Code]:[Minutes]], 3, FALSE) * VLOOKUP(H$1, ProviderRatesTable[], 3, FALSE)</f>
        <v>650</v>
      </c>
      <c r="I5" s="6">
        <f>VLOOKUP($B5, CodeMinutesTable[[Code]:[Minutes]], 3, FALSE) * VLOOKUP(I$1, ProviderRatesTable[], 3, FALSE)</f>
        <v>600</v>
      </c>
      <c r="J5" s="6">
        <f>VLOOKUP($B5, CodeMinutesTable[[Code]:[Minutes]], 3, FALSE) * VLOOKUP(J$1, ProviderRatesTable[], 3, FALSE)</f>
        <v>550</v>
      </c>
      <c r="K5" s="6">
        <f>VLOOKUP($B5, CodeMinutesTable[[Code]:[Minutes]], 3, FALSE) * VLOOKUP(K$1, ProviderRatesTable[], 3, FALSE)</f>
        <v>500.00000000000006</v>
      </c>
      <c r="L5" s="6">
        <f>VLOOKUP($B5, CodeMinutesTable[[Code]:[Minutes]], 3, FALSE) * VLOOKUP(L$1, ProviderRatesTable[], 3, FALSE)</f>
        <v>450</v>
      </c>
      <c r="M5" s="6">
        <f>VLOOKUP($B5, CodeMinutesTable[[Code]:[Minutes]], 3, FALSE) * VLOOKUP(M$1, ProviderRatesTable[], 3, FALSE)</f>
        <v>400</v>
      </c>
      <c r="N5" s="6">
        <f>VLOOKUP($B5, CodeMinutesTable[[Code]:[Minutes]], 3, FALSE) * VLOOKUP(N$1, ProviderRatesTable[], 3, FALSE)</f>
        <v>350</v>
      </c>
      <c r="O5" s="6">
        <f>VLOOKUP($B5, CodeMinutesTable[[Code]:[Minutes]], 3, FALSE) * VLOOKUP(O$1, ProviderRatesTable[], 3, FALSE)</f>
        <v>300</v>
      </c>
      <c r="P5" s="6">
        <f>VLOOKUP($B5, CodeMinutesTable[[Code]:[Minutes]], 3, FALSE) * VLOOKUP(P$1, ProviderRatesTable[], 3, FALSE)</f>
        <v>200</v>
      </c>
      <c r="Q5" s="6">
        <f>VLOOKUP($B5, CodeMinutesTable[[Code]:[Minutes]], 3, FALSE) * VLOOKUP(Q$1, ProviderRatesTable[], 3, FALSE)</f>
        <v>150</v>
      </c>
    </row>
    <row r="6" spans="1:17" hidden="1" x14ac:dyDescent="0.25">
      <c r="A6" s="3" t="str">
        <f>INDEX(CodeMinutesTable[Frequently Used],MATCH(CodeRatesTable[[#This Row],[Billing Code]],CodeMinutesTable[Code],0))</f>
        <v>No</v>
      </c>
      <c r="B6" s="3" t="s">
        <v>47</v>
      </c>
      <c r="C6" t="s">
        <v>48</v>
      </c>
      <c r="D6" s="6">
        <f>VLOOKUP($B6, CodeMinutesTable[[Code]:[Minutes]], 3, FALSE) * VLOOKUP(D$1, ProviderRatesTable[], 3, FALSE)</f>
        <v>850</v>
      </c>
      <c r="E6" s="6" cm="1">
        <f t="array" ref="E6">_xlfn.XLOOKUP($B6,CodeMinutesTable[[Code]:[Code]],CodeMinutesTable[[Minutes]:[Minutes]]) *_xlfn.XLOOKUP(E$1,'Provider Rates'!$A$2:$A$15,'Provider Rates'!$C$2:$C$15)</f>
        <v>800</v>
      </c>
      <c r="F6" s="6" cm="1">
        <f t="array" ref="F6">_xlfn.XLOOKUP($B6,CodeMinutesTable[[Code]:[Code]],CodeMinutesTable[[Minutes]:[Minutes]]) *_xlfn.XLOOKUP(F$1,'Provider Rates'!$A$2:$A$15,'Provider Rates'!$C$2:$C$15)</f>
        <v>750</v>
      </c>
      <c r="G6" s="6" cm="1">
        <f t="array" ref="G6">_xlfn.XLOOKUP($B6,CodeMinutesTable[[Code]:[Code]],CodeMinutesTable[[Minutes]:[Minutes]]) *_xlfn.XLOOKUP(G$1,'Provider Rates'!$A$2:$A$15,'Provider Rates'!$C$2:$C$15)</f>
        <v>700</v>
      </c>
      <c r="H6" s="6" cm="1">
        <f t="array" ref="H6">_xlfn.XLOOKUP($B6,CodeMinutesTable[[Code]:[Code]],CodeMinutesTable[[Minutes]:[Minutes]]) *_xlfn.XLOOKUP(H$1,'Provider Rates'!$A$2:$A$15,'Provider Rates'!$C$2:$C$15)</f>
        <v>650</v>
      </c>
      <c r="I6" s="6" cm="1">
        <f t="array" ref="I6">_xlfn.XLOOKUP($B6,CodeMinutesTable[[Code]:[Code]],CodeMinutesTable[[Minutes]:[Minutes]]) *_xlfn.XLOOKUP(I$1,'Provider Rates'!$A$2:$A$15,'Provider Rates'!$C$2:$C$15)</f>
        <v>600</v>
      </c>
      <c r="J6" s="6" cm="1">
        <f t="array" ref="J6">_xlfn.XLOOKUP($B6,CodeMinutesTable[[Code]:[Code]],CodeMinutesTable[[Minutes]:[Minutes]]) *_xlfn.XLOOKUP(J$1,'Provider Rates'!$A$2:$A$15,'Provider Rates'!$C$2:$C$15)</f>
        <v>550</v>
      </c>
      <c r="K6" s="6" cm="1">
        <f t="array" ref="K6">_xlfn.XLOOKUP($B6,CodeMinutesTable[[Code]:[Code]],CodeMinutesTable[[Minutes]:[Minutes]]) *_xlfn.XLOOKUP(K$1,'Provider Rates'!$A$2:$A$15,'Provider Rates'!$C$2:$C$15)</f>
        <v>500.00000000000006</v>
      </c>
      <c r="L6" s="6" cm="1">
        <f t="array" ref="L6">_xlfn.XLOOKUP($B6,CodeMinutesTable[[Code]:[Code]],CodeMinutesTable[[Minutes]:[Minutes]]) *_xlfn.XLOOKUP(L$1,'Provider Rates'!$A$2:$A$15,'Provider Rates'!$C$2:$C$15)</f>
        <v>450</v>
      </c>
      <c r="M6" s="6" cm="1">
        <f t="array" ref="M6">_xlfn.XLOOKUP($B6,CodeMinutesTable[[Code]:[Code]],CodeMinutesTable[[Minutes]:[Minutes]]) *_xlfn.XLOOKUP(M$1,'Provider Rates'!$A$2:$A$15,'Provider Rates'!$C$2:$C$15)</f>
        <v>400</v>
      </c>
      <c r="N6" s="6" cm="1">
        <f t="array" ref="N6">_xlfn.XLOOKUP($B6,CodeMinutesTable[[Code]:[Code]],CodeMinutesTable[[Minutes]:[Minutes]]) *_xlfn.XLOOKUP(N$1,'Provider Rates'!$A$2:$A$15,'Provider Rates'!$C$2:$C$15)</f>
        <v>350</v>
      </c>
      <c r="O6" s="6" cm="1">
        <f t="array" ref="O6">_xlfn.XLOOKUP($B6,CodeMinutesTable[[Code]:[Code]],CodeMinutesTable[[Minutes]:[Minutes]]) *_xlfn.XLOOKUP(O$1,'Provider Rates'!$A$2:$A$15,'Provider Rates'!$C$2:$C$15)</f>
        <v>300</v>
      </c>
      <c r="P6" s="6" cm="1">
        <f t="array" ref="P6">_xlfn.XLOOKUP($B6,CodeMinutesTable[[Code]:[Code]],CodeMinutesTable[[Minutes]:[Minutes]]) *_xlfn.XLOOKUP(P$1,'Provider Rates'!$A$2:$A$15,'Provider Rates'!$C$2:$C$15)</f>
        <v>200</v>
      </c>
      <c r="Q6" s="6">
        <f>VLOOKUP($B6, CodeMinutesTable[[Code]:[Minutes]], 3, FALSE) * VLOOKUP(Q$1, ProviderRatesTable[], 3, FALSE)</f>
        <v>150</v>
      </c>
    </row>
    <row r="7" spans="1:17" x14ac:dyDescent="0.25">
      <c r="A7" s="3" t="str">
        <f>INDEX(CodeMinutesTable[Frequently Used],MATCH(CodeRatesTable[[#This Row],[Billing Code]],CodeMinutesTable[Code],0))</f>
        <v>Yes</v>
      </c>
      <c r="B7" s="3" t="s">
        <v>49</v>
      </c>
      <c r="C7" t="s">
        <v>50</v>
      </c>
      <c r="D7" s="6">
        <f>VLOOKUP($B7, CodeMinutesTable[[Code]:[Minutes]], 3, FALSE) * VLOOKUP(D$1, ProviderRatesTable[], 3, FALSE)</f>
        <v>1275</v>
      </c>
      <c r="E7" s="6">
        <f>VLOOKUP($B7, CodeMinutesTable[[Code]:[Minutes]], 3, FALSE) * VLOOKUP(E$1, ProviderRatesTable[], 3, FALSE)</f>
        <v>1200</v>
      </c>
      <c r="F7" s="6">
        <f>VLOOKUP($B7, CodeMinutesTable[[Code]:[Minutes]], 3, FALSE) * VLOOKUP(F$1, ProviderRatesTable[], 3, FALSE)</f>
        <v>1125</v>
      </c>
      <c r="G7" s="6">
        <f>VLOOKUP($B7, CodeMinutesTable[[Code]:[Minutes]], 3, FALSE) * VLOOKUP(G$1, ProviderRatesTable[], 3, FALSE)</f>
        <v>1050</v>
      </c>
      <c r="H7" s="6">
        <f>VLOOKUP($B7, CodeMinutesTable[[Code]:[Minutes]], 3, FALSE) * VLOOKUP(H$1, ProviderRatesTable[], 3, FALSE)</f>
        <v>975</v>
      </c>
      <c r="I7" s="6">
        <f>VLOOKUP($B7, CodeMinutesTable[[Code]:[Minutes]], 3, FALSE) * VLOOKUP(I$1, ProviderRatesTable[], 3, FALSE)</f>
        <v>900</v>
      </c>
      <c r="J7" s="6">
        <f>VLOOKUP($B7, CodeMinutesTable[[Code]:[Minutes]], 3, FALSE) * VLOOKUP(J$1, ProviderRatesTable[], 3, FALSE)</f>
        <v>825</v>
      </c>
      <c r="K7" s="6">
        <f>VLOOKUP($B7, CodeMinutesTable[[Code]:[Minutes]], 3, FALSE) * VLOOKUP(K$1, ProviderRatesTable[], 3, FALSE)</f>
        <v>750</v>
      </c>
      <c r="L7" s="6">
        <f>VLOOKUP($B7, CodeMinutesTable[[Code]:[Minutes]], 3, FALSE) * VLOOKUP(L$1, ProviderRatesTable[], 3, FALSE)</f>
        <v>675</v>
      </c>
      <c r="M7" s="6">
        <f>VLOOKUP($B7, CodeMinutesTable[[Code]:[Minutes]], 3, FALSE) * VLOOKUP(M$1, ProviderRatesTable[], 3, FALSE)</f>
        <v>600</v>
      </c>
      <c r="N7" s="6">
        <f>VLOOKUP($B7, CodeMinutesTable[[Code]:[Minutes]], 3, FALSE) * VLOOKUP(N$1, ProviderRatesTable[], 3, FALSE)</f>
        <v>525</v>
      </c>
      <c r="O7" s="6">
        <f>VLOOKUP($B7, CodeMinutesTable[[Code]:[Minutes]], 3, FALSE) * VLOOKUP(O$1, ProviderRatesTable[], 3, FALSE)</f>
        <v>450</v>
      </c>
      <c r="P7" s="6">
        <f>VLOOKUP($B7, CodeMinutesTable[[Code]:[Minutes]], 3, FALSE) * VLOOKUP(P$1, ProviderRatesTable[], 3, FALSE)</f>
        <v>300</v>
      </c>
      <c r="Q7" s="6">
        <f>VLOOKUP($B7, CodeMinutesTable[[Code]:[Minutes]], 3, FALSE) * VLOOKUP(Q$1, ProviderRatesTable[], 3, FALSE)</f>
        <v>225</v>
      </c>
    </row>
    <row r="8" spans="1:17" hidden="1" x14ac:dyDescent="0.25">
      <c r="A8" s="3" t="str">
        <f>INDEX(CodeMinutesTable[Frequently Used],MATCH(CodeRatesTable[[#This Row],[Billing Code]],CodeMinutesTable[Code],0))</f>
        <v>No</v>
      </c>
      <c r="B8" s="3" t="s">
        <v>51</v>
      </c>
      <c r="C8" t="s">
        <v>52</v>
      </c>
      <c r="D8" s="6">
        <f>VLOOKUP($B8, CodeMinutesTable[[Code]:[Minutes]], 3, FALSE) * VLOOKUP(D$1, ProviderRatesTable[], 3, FALSE)</f>
        <v>1275</v>
      </c>
      <c r="E8" s="6" cm="1">
        <f t="array" ref="E8">_xlfn.XLOOKUP($B8,CodeMinutesTable[[Code]:[Code]],CodeMinutesTable[[Minutes]:[Minutes]]) *_xlfn.XLOOKUP(E$1,'Provider Rates'!$A$2:$A$15,'Provider Rates'!$C$2:$C$15)</f>
        <v>1200</v>
      </c>
      <c r="F8" s="6" cm="1">
        <f t="array" ref="F8">_xlfn.XLOOKUP($B8,CodeMinutesTable[[Code]:[Code]],CodeMinutesTable[[Minutes]:[Minutes]]) *_xlfn.XLOOKUP(F$1,'Provider Rates'!$A$2:$A$15,'Provider Rates'!$C$2:$C$15)</f>
        <v>1125</v>
      </c>
      <c r="G8" s="6" cm="1">
        <f t="array" ref="G8">_xlfn.XLOOKUP($B8,CodeMinutesTable[[Code]:[Code]],CodeMinutesTable[[Minutes]:[Minutes]]) *_xlfn.XLOOKUP(G$1,'Provider Rates'!$A$2:$A$15,'Provider Rates'!$C$2:$C$15)</f>
        <v>1050</v>
      </c>
      <c r="H8" s="6" cm="1">
        <f t="array" ref="H8">_xlfn.XLOOKUP($B8,CodeMinutesTable[[Code]:[Code]],CodeMinutesTable[[Minutes]:[Minutes]]) *_xlfn.XLOOKUP(H$1,'Provider Rates'!$A$2:$A$15,'Provider Rates'!$C$2:$C$15)</f>
        <v>975</v>
      </c>
      <c r="I8" s="6" cm="1">
        <f t="array" ref="I8">_xlfn.XLOOKUP($B8,CodeMinutesTable[[Code]:[Code]],CodeMinutesTable[[Minutes]:[Minutes]]) *_xlfn.XLOOKUP(I$1,'Provider Rates'!$A$2:$A$15,'Provider Rates'!$C$2:$C$15)</f>
        <v>900</v>
      </c>
      <c r="J8" s="6" cm="1">
        <f t="array" ref="J8">_xlfn.XLOOKUP($B8,CodeMinutesTable[[Code]:[Code]],CodeMinutesTable[[Minutes]:[Minutes]]) *_xlfn.XLOOKUP(J$1,'Provider Rates'!$A$2:$A$15,'Provider Rates'!$C$2:$C$15)</f>
        <v>825</v>
      </c>
      <c r="K8" s="6" cm="1">
        <f t="array" ref="K8">_xlfn.XLOOKUP($B8,CodeMinutesTable[[Code]:[Code]],CodeMinutesTable[[Minutes]:[Minutes]]) *_xlfn.XLOOKUP(K$1,'Provider Rates'!$A$2:$A$15,'Provider Rates'!$C$2:$C$15)</f>
        <v>750</v>
      </c>
      <c r="L8" s="6" cm="1">
        <f t="array" ref="L8">_xlfn.XLOOKUP($B8,CodeMinutesTable[[Code]:[Code]],CodeMinutesTable[[Minutes]:[Minutes]]) *_xlfn.XLOOKUP(L$1,'Provider Rates'!$A$2:$A$15,'Provider Rates'!$C$2:$C$15)</f>
        <v>675</v>
      </c>
      <c r="M8" s="6" cm="1">
        <f t="array" ref="M8">_xlfn.XLOOKUP($B8,CodeMinutesTable[[Code]:[Code]],CodeMinutesTable[[Minutes]:[Minutes]]) *_xlfn.XLOOKUP(M$1,'Provider Rates'!$A$2:$A$15,'Provider Rates'!$C$2:$C$15)</f>
        <v>600</v>
      </c>
      <c r="N8" s="6" cm="1">
        <f t="array" ref="N8">_xlfn.XLOOKUP($B8,CodeMinutesTable[[Code]:[Code]],CodeMinutesTable[[Minutes]:[Minutes]]) *_xlfn.XLOOKUP(N$1,'Provider Rates'!$A$2:$A$15,'Provider Rates'!$C$2:$C$15)</f>
        <v>525</v>
      </c>
      <c r="O8" s="6" cm="1">
        <f t="array" ref="O8">_xlfn.XLOOKUP($B8,CodeMinutesTable[[Code]:[Code]],CodeMinutesTable[[Minutes]:[Minutes]]) *_xlfn.XLOOKUP(O$1,'Provider Rates'!$A$2:$A$15,'Provider Rates'!$C$2:$C$15)</f>
        <v>450</v>
      </c>
      <c r="P8" s="6" cm="1">
        <f t="array" ref="P8">_xlfn.XLOOKUP($B8,CodeMinutesTable[[Code]:[Code]],CodeMinutesTable[[Minutes]:[Minutes]]) *_xlfn.XLOOKUP(P$1,'Provider Rates'!$A$2:$A$15,'Provider Rates'!$C$2:$C$15)</f>
        <v>300</v>
      </c>
      <c r="Q8" s="6">
        <f>VLOOKUP($B8, CodeMinutesTable[[Code]:[Minutes]], 3, FALSE) * VLOOKUP(Q$1, ProviderRatesTable[], 3, FALSE)</f>
        <v>225</v>
      </c>
    </row>
    <row r="9" spans="1:17" x14ac:dyDescent="0.25">
      <c r="A9" s="3" t="str">
        <f>INDEX(CodeMinutesTable[Frequently Used],MATCH(CodeRatesTable[[#This Row],[Billing Code]],CodeMinutesTable[Code],0))</f>
        <v>Yes</v>
      </c>
      <c r="B9" s="3" t="s">
        <v>53</v>
      </c>
      <c r="C9" t="s">
        <v>54</v>
      </c>
      <c r="D9" s="6">
        <f>VLOOKUP($B9, CodeMinutesTable[[Code]:[Minutes]], 3, FALSE) * VLOOKUP(D$1, ProviderRatesTable[], 3, FALSE)</f>
        <v>1700</v>
      </c>
      <c r="E9" s="6">
        <f>VLOOKUP($B9, CodeMinutesTable[[Code]:[Minutes]], 3, FALSE) * VLOOKUP(E$1, ProviderRatesTable[], 3, FALSE)</f>
        <v>1600</v>
      </c>
      <c r="F9" s="6">
        <f>VLOOKUP($B9, CodeMinutesTable[[Code]:[Minutes]], 3, FALSE) * VLOOKUP(F$1, ProviderRatesTable[], 3, FALSE)</f>
        <v>1500</v>
      </c>
      <c r="G9" s="6">
        <f>VLOOKUP($B9, CodeMinutesTable[[Code]:[Minutes]], 3, FALSE) * VLOOKUP(G$1, ProviderRatesTable[], 3, FALSE)</f>
        <v>1400</v>
      </c>
      <c r="H9" s="6">
        <f>VLOOKUP($B9, CodeMinutesTable[[Code]:[Minutes]], 3, FALSE) * VLOOKUP(H$1, ProviderRatesTable[], 3, FALSE)</f>
        <v>1300</v>
      </c>
      <c r="I9" s="6">
        <f>VLOOKUP($B9, CodeMinutesTable[[Code]:[Minutes]], 3, FALSE) * VLOOKUP(I$1, ProviderRatesTable[], 3, FALSE)</f>
        <v>1200</v>
      </c>
      <c r="J9" s="6">
        <f>VLOOKUP($B9, CodeMinutesTable[[Code]:[Minutes]], 3, FALSE) * VLOOKUP(J$1, ProviderRatesTable[], 3, FALSE)</f>
        <v>1100</v>
      </c>
      <c r="K9" s="6">
        <f>VLOOKUP($B9, CodeMinutesTable[[Code]:[Minutes]], 3, FALSE) * VLOOKUP(K$1, ProviderRatesTable[], 3, FALSE)</f>
        <v>1000.0000000000001</v>
      </c>
      <c r="L9" s="6">
        <f>VLOOKUP($B9, CodeMinutesTable[[Code]:[Minutes]], 3, FALSE) * VLOOKUP(L$1, ProviderRatesTable[], 3, FALSE)</f>
        <v>900</v>
      </c>
      <c r="M9" s="6">
        <f>VLOOKUP($B9, CodeMinutesTable[[Code]:[Minutes]], 3, FALSE) * VLOOKUP(M$1, ProviderRatesTable[], 3, FALSE)</f>
        <v>800</v>
      </c>
      <c r="N9" s="6">
        <f>VLOOKUP($B9, CodeMinutesTable[[Code]:[Minutes]], 3, FALSE) * VLOOKUP(N$1, ProviderRatesTable[], 3, FALSE)</f>
        <v>700</v>
      </c>
      <c r="O9" s="6">
        <f>VLOOKUP($B9, CodeMinutesTable[[Code]:[Minutes]], 3, FALSE) * VLOOKUP(O$1, ProviderRatesTable[], 3, FALSE)</f>
        <v>600</v>
      </c>
      <c r="P9" s="6">
        <f>VLOOKUP($B9, CodeMinutesTable[[Code]:[Minutes]], 3, FALSE) * VLOOKUP(P$1, ProviderRatesTable[], 3, FALSE)</f>
        <v>400</v>
      </c>
      <c r="Q9" s="6">
        <f>VLOOKUP($B9, CodeMinutesTable[[Code]:[Minutes]], 3, FALSE) * VLOOKUP(Q$1, ProviderRatesTable[], 3, FALSE)</f>
        <v>300</v>
      </c>
    </row>
    <row r="10" spans="1:17" hidden="1" x14ac:dyDescent="0.25">
      <c r="A10" s="3" t="str">
        <f>INDEX(CodeMinutesTable[Frequently Used],MATCH(CodeRatesTable[[#This Row],[Billing Code]],CodeMinutesTable[Code],0))</f>
        <v>No</v>
      </c>
      <c r="B10" s="3" t="s">
        <v>55</v>
      </c>
      <c r="C10" t="s">
        <v>56</v>
      </c>
      <c r="D10" s="6">
        <f>VLOOKUP($B10, CodeMinutesTable[[Code]:[Minutes]], 3, FALSE) * VLOOKUP(D$1, ProviderRatesTable[], 3, FALSE)</f>
        <v>1700</v>
      </c>
      <c r="E10" s="6" cm="1">
        <f t="array" ref="E10">_xlfn.XLOOKUP($B10,CodeMinutesTable[[Code]:[Code]],CodeMinutesTable[[Minutes]:[Minutes]]) *_xlfn.XLOOKUP(E$1,'Provider Rates'!$A$2:$A$15,'Provider Rates'!$C$2:$C$15)</f>
        <v>1600</v>
      </c>
      <c r="F10" s="6" cm="1">
        <f t="array" ref="F10">_xlfn.XLOOKUP($B10,CodeMinutesTable[[Code]:[Code]],CodeMinutesTable[[Minutes]:[Minutes]]) *_xlfn.XLOOKUP(F$1,'Provider Rates'!$A$2:$A$15,'Provider Rates'!$C$2:$C$15)</f>
        <v>1500</v>
      </c>
      <c r="G10" s="6" cm="1">
        <f t="array" ref="G10">_xlfn.XLOOKUP($B10,CodeMinutesTable[[Code]:[Code]],CodeMinutesTable[[Minutes]:[Minutes]]) *_xlfn.XLOOKUP(G$1,'Provider Rates'!$A$2:$A$15,'Provider Rates'!$C$2:$C$15)</f>
        <v>1400</v>
      </c>
      <c r="H10" s="6" cm="1">
        <f t="array" ref="H10">_xlfn.XLOOKUP($B10,CodeMinutesTable[[Code]:[Code]],CodeMinutesTable[[Minutes]:[Minutes]]) *_xlfn.XLOOKUP(H$1,'Provider Rates'!$A$2:$A$15,'Provider Rates'!$C$2:$C$15)</f>
        <v>1300</v>
      </c>
      <c r="I10" s="6" cm="1">
        <f t="array" ref="I10">_xlfn.XLOOKUP($B10,CodeMinutesTable[[Code]:[Code]],CodeMinutesTable[[Minutes]:[Minutes]]) *_xlfn.XLOOKUP(I$1,'Provider Rates'!$A$2:$A$15,'Provider Rates'!$C$2:$C$15)</f>
        <v>1200</v>
      </c>
      <c r="J10" s="6" cm="1">
        <f t="array" ref="J10">_xlfn.XLOOKUP($B10,CodeMinutesTable[[Code]:[Code]],CodeMinutesTable[[Minutes]:[Minutes]]) *_xlfn.XLOOKUP(J$1,'Provider Rates'!$A$2:$A$15,'Provider Rates'!$C$2:$C$15)</f>
        <v>1100</v>
      </c>
      <c r="K10" s="6" cm="1">
        <f t="array" ref="K10">_xlfn.XLOOKUP($B10,CodeMinutesTable[[Code]:[Code]],CodeMinutesTable[[Minutes]:[Minutes]]) *_xlfn.XLOOKUP(K$1,'Provider Rates'!$A$2:$A$15,'Provider Rates'!$C$2:$C$15)</f>
        <v>1000.0000000000001</v>
      </c>
      <c r="L10" s="6" cm="1">
        <f t="array" ref="L10">_xlfn.XLOOKUP($B10,CodeMinutesTable[[Code]:[Code]],CodeMinutesTable[[Minutes]:[Minutes]]) *_xlfn.XLOOKUP(L$1,'Provider Rates'!$A$2:$A$15,'Provider Rates'!$C$2:$C$15)</f>
        <v>900</v>
      </c>
      <c r="M10" s="6" cm="1">
        <f t="array" ref="M10">_xlfn.XLOOKUP($B10,CodeMinutesTable[[Code]:[Code]],CodeMinutesTable[[Minutes]:[Minutes]]) *_xlfn.XLOOKUP(M$1,'Provider Rates'!$A$2:$A$15,'Provider Rates'!$C$2:$C$15)</f>
        <v>800</v>
      </c>
      <c r="N10" s="6" cm="1">
        <f t="array" ref="N10">_xlfn.XLOOKUP($B10,CodeMinutesTable[[Code]:[Code]],CodeMinutesTable[[Minutes]:[Minutes]]) *_xlfn.XLOOKUP(N$1,'Provider Rates'!$A$2:$A$15,'Provider Rates'!$C$2:$C$15)</f>
        <v>700</v>
      </c>
      <c r="O10" s="6" cm="1">
        <f t="array" ref="O10">_xlfn.XLOOKUP($B10,CodeMinutesTable[[Code]:[Code]],CodeMinutesTable[[Minutes]:[Minutes]]) *_xlfn.XLOOKUP(O$1,'Provider Rates'!$A$2:$A$15,'Provider Rates'!$C$2:$C$15)</f>
        <v>600</v>
      </c>
      <c r="P10" s="6" cm="1">
        <f t="array" ref="P10">_xlfn.XLOOKUP($B10,CodeMinutesTable[[Code]:[Code]],CodeMinutesTable[[Minutes]:[Minutes]]) *_xlfn.XLOOKUP(P$1,'Provider Rates'!$A$2:$A$15,'Provider Rates'!$C$2:$C$15)</f>
        <v>400</v>
      </c>
      <c r="Q10" s="6">
        <f>VLOOKUP($B10, CodeMinutesTable[[Code]:[Minutes]], 3, FALSE) * VLOOKUP(Q$1, ProviderRatesTable[], 3, FALSE)</f>
        <v>300</v>
      </c>
    </row>
    <row r="11" spans="1:17" x14ac:dyDescent="0.25">
      <c r="A11" s="3" t="str">
        <f>INDEX(CodeMinutesTable[Frequently Used],MATCH(CodeRatesTable[[#This Row],[Billing Code]],CodeMinutesTable[Code],0))</f>
        <v>Yes</v>
      </c>
      <c r="B11" s="3" t="s">
        <v>57</v>
      </c>
      <c r="C11" t="s">
        <v>58</v>
      </c>
      <c r="D11" s="6">
        <f>VLOOKUP($B11, CodeMinutesTable[[Code]:[Minutes]], 3, FALSE) * VLOOKUP(D$1, ProviderRatesTable[], 3, FALSE)</f>
        <v>1473.3333333333333</v>
      </c>
      <c r="E11" s="6">
        <f>VLOOKUP($B11, CodeMinutesTable[[Code]:[Minutes]], 3, FALSE) * VLOOKUP(E$1, ProviderRatesTable[], 3, FALSE)</f>
        <v>1386.6666666666667</v>
      </c>
      <c r="F11" s="6">
        <f>VLOOKUP($B11, CodeMinutesTable[[Code]:[Minutes]], 3, FALSE) * VLOOKUP(F$1, ProviderRatesTable[], 3, FALSE)</f>
        <v>1300</v>
      </c>
      <c r="G11" s="6">
        <f>VLOOKUP($B11, CodeMinutesTable[[Code]:[Minutes]], 3, FALSE) * VLOOKUP(G$1, ProviderRatesTable[], 3, FALSE)</f>
        <v>1213.3333333333333</v>
      </c>
      <c r="H11" s="6">
        <f>VLOOKUP($B11, CodeMinutesTable[[Code]:[Minutes]], 3, FALSE) * VLOOKUP(H$1, ProviderRatesTable[], 3, FALSE)</f>
        <v>1126.6666666666667</v>
      </c>
      <c r="I11" s="6">
        <f>VLOOKUP($B11, CodeMinutesTable[[Code]:[Minutes]], 3, FALSE) * VLOOKUP(I$1, ProviderRatesTable[], 3, FALSE)</f>
        <v>1040</v>
      </c>
      <c r="J11" s="6">
        <f>VLOOKUP($B11, CodeMinutesTable[[Code]:[Minutes]], 3, FALSE) * VLOOKUP(J$1, ProviderRatesTable[], 3, FALSE)</f>
        <v>953.33333333333326</v>
      </c>
      <c r="K11" s="6">
        <f>VLOOKUP($B11, CodeMinutesTable[[Code]:[Minutes]], 3, FALSE) * VLOOKUP(K$1, ProviderRatesTable[], 3, FALSE)</f>
        <v>866.66666666666674</v>
      </c>
      <c r="L11" s="6">
        <f>VLOOKUP($B11, CodeMinutesTable[[Code]:[Minutes]], 3, FALSE) * VLOOKUP(L$1, ProviderRatesTable[], 3, FALSE)</f>
        <v>780</v>
      </c>
      <c r="M11" s="6">
        <f>VLOOKUP($B11, CodeMinutesTable[[Code]:[Minutes]], 3, FALSE) * VLOOKUP(M$1, ProviderRatesTable[], 3, FALSE)</f>
        <v>693.33333333333337</v>
      </c>
      <c r="N11" s="6">
        <f>VLOOKUP($B11, CodeMinutesTable[[Code]:[Minutes]], 3, FALSE) * VLOOKUP(N$1, ProviderRatesTable[], 3, FALSE)</f>
        <v>606.66666666666663</v>
      </c>
      <c r="O11" s="6">
        <f>VLOOKUP($B11, CodeMinutesTable[[Code]:[Minutes]], 3, FALSE) * VLOOKUP(O$1, ProviderRatesTable[], 3, FALSE)</f>
        <v>520</v>
      </c>
      <c r="P11" s="6">
        <f>VLOOKUP($B11, CodeMinutesTable[[Code]:[Minutes]], 3, FALSE) * VLOOKUP(P$1, ProviderRatesTable[], 3, FALSE)</f>
        <v>346.66666666666669</v>
      </c>
      <c r="Q11" s="6">
        <f>VLOOKUP($B11, CodeMinutesTable[[Code]:[Minutes]], 3, FALSE) * VLOOKUP(Q$1, ProviderRatesTable[], 3, FALSE)</f>
        <v>260</v>
      </c>
    </row>
    <row r="12" spans="1:17" x14ac:dyDescent="0.25">
      <c r="A12" s="3" t="str">
        <f>INDEX(CodeMinutesTable[Frequently Used],MATCH(CodeRatesTable[[#This Row],[Billing Code]],CodeMinutesTable[Code],0))</f>
        <v>Yes</v>
      </c>
      <c r="B12" s="3" t="s">
        <v>59</v>
      </c>
      <c r="C12" t="s">
        <v>60</v>
      </c>
      <c r="D12" s="6">
        <f>VLOOKUP($B12, CodeMinutesTable[[Code]:[Minutes]], 3, FALSE) * VLOOKUP(D$1, ProviderRatesTable[], 3, FALSE)</f>
        <v>850</v>
      </c>
      <c r="E12" s="6">
        <f>VLOOKUP($B12, CodeMinutesTable[[Code]:[Minutes]], 3, FALSE) * VLOOKUP(E$1, ProviderRatesTable[], 3, FALSE)</f>
        <v>800</v>
      </c>
      <c r="F12" s="6">
        <f>VLOOKUP($B12, CodeMinutesTable[[Code]:[Minutes]], 3, FALSE) * VLOOKUP(F$1, ProviderRatesTable[], 3, FALSE)</f>
        <v>750</v>
      </c>
      <c r="G12" s="6">
        <f>VLOOKUP($B12, CodeMinutesTable[[Code]:[Minutes]], 3, FALSE) * VLOOKUP(G$1, ProviderRatesTable[], 3, FALSE)</f>
        <v>700</v>
      </c>
      <c r="H12" s="6">
        <f>VLOOKUP($B12, CodeMinutesTable[[Code]:[Minutes]], 3, FALSE) * VLOOKUP(H$1, ProviderRatesTable[], 3, FALSE)</f>
        <v>650</v>
      </c>
      <c r="I12" s="6">
        <f>VLOOKUP($B12, CodeMinutesTable[[Code]:[Minutes]], 3, FALSE) * VLOOKUP(I$1, ProviderRatesTable[], 3, FALSE)</f>
        <v>600</v>
      </c>
      <c r="J12" s="6">
        <f>VLOOKUP($B12, CodeMinutesTable[[Code]:[Minutes]], 3, FALSE) * VLOOKUP(J$1, ProviderRatesTable[], 3, FALSE)</f>
        <v>550</v>
      </c>
      <c r="K12" s="6">
        <f>VLOOKUP($B12, CodeMinutesTable[[Code]:[Minutes]], 3, FALSE) * VLOOKUP(K$1, ProviderRatesTable[], 3, FALSE)</f>
        <v>500.00000000000006</v>
      </c>
      <c r="L12" s="6">
        <f>VLOOKUP($B12, CodeMinutesTable[[Code]:[Minutes]], 3, FALSE) * VLOOKUP(L$1, ProviderRatesTable[], 3, FALSE)</f>
        <v>450</v>
      </c>
      <c r="M12" s="6">
        <f>VLOOKUP($B12, CodeMinutesTable[[Code]:[Minutes]], 3, FALSE) * VLOOKUP(M$1, ProviderRatesTable[], 3, FALSE)</f>
        <v>400</v>
      </c>
      <c r="N12" s="6">
        <f>VLOOKUP($B12, CodeMinutesTable[[Code]:[Minutes]], 3, FALSE) * VLOOKUP(N$1, ProviderRatesTable[], 3, FALSE)</f>
        <v>350</v>
      </c>
      <c r="O12" s="6">
        <f>VLOOKUP($B12, CodeMinutesTable[[Code]:[Minutes]], 3, FALSE) * VLOOKUP(O$1, ProviderRatesTable[], 3, FALSE)</f>
        <v>300</v>
      </c>
      <c r="P12" s="6">
        <f>VLOOKUP($B12, CodeMinutesTable[[Code]:[Minutes]], 3, FALSE) * VLOOKUP(P$1, ProviderRatesTable[], 3, FALSE)</f>
        <v>200</v>
      </c>
      <c r="Q12" s="6">
        <f>VLOOKUP($B12, CodeMinutesTable[[Code]:[Minutes]], 3, FALSE) * VLOOKUP(Q$1, ProviderRatesTable[], 3, FALSE)</f>
        <v>150</v>
      </c>
    </row>
    <row r="13" spans="1:17" hidden="1" x14ac:dyDescent="0.25">
      <c r="A13" s="3" t="str">
        <f>INDEX(CodeMinutesTable[Frequently Used],MATCH(CodeRatesTable[[#This Row],[Billing Code]],CodeMinutesTable[Code],0))</f>
        <v>No</v>
      </c>
      <c r="B13" s="3" t="s">
        <v>61</v>
      </c>
      <c r="C13" t="s">
        <v>62</v>
      </c>
      <c r="D13" s="6">
        <f>VLOOKUP($B13, CodeMinutesTable[[Code]:[Minutes]], 3, FALSE) * VLOOKUP(D$1, ProviderRatesTable[], 3, FALSE)</f>
        <v>425</v>
      </c>
      <c r="E13" s="6" cm="1">
        <f t="array" ref="E13">_xlfn.XLOOKUP($B13,CodeMinutesTable[[Code]:[Code]],CodeMinutesTable[[Minutes]:[Minutes]]) *_xlfn.XLOOKUP(E$1,'Provider Rates'!$A$2:$A$15,'Provider Rates'!$C$2:$C$15)</f>
        <v>400</v>
      </c>
      <c r="F13" s="6" cm="1">
        <f t="array" ref="F13">_xlfn.XLOOKUP($B13,CodeMinutesTable[[Code]:[Code]],CodeMinutesTable[[Minutes]:[Minutes]]) *_xlfn.XLOOKUP(F$1,'Provider Rates'!$A$2:$A$15,'Provider Rates'!$C$2:$C$15)</f>
        <v>375</v>
      </c>
      <c r="G13" s="6" cm="1">
        <f t="array" ref="G13">_xlfn.XLOOKUP($B13,CodeMinutesTable[[Code]:[Code]],CodeMinutesTable[[Minutes]:[Minutes]]) *_xlfn.XLOOKUP(G$1,'Provider Rates'!$A$2:$A$15,'Provider Rates'!$C$2:$C$15)</f>
        <v>350</v>
      </c>
      <c r="H13" s="6" cm="1">
        <f t="array" ref="H13">_xlfn.XLOOKUP($B13,CodeMinutesTable[[Code]:[Code]],CodeMinutesTable[[Minutes]:[Minutes]]) *_xlfn.XLOOKUP(H$1,'Provider Rates'!$A$2:$A$15,'Provider Rates'!$C$2:$C$15)</f>
        <v>325</v>
      </c>
      <c r="I13" s="6" cm="1">
        <f t="array" ref="I13">_xlfn.XLOOKUP($B13,CodeMinutesTable[[Code]:[Code]],CodeMinutesTable[[Minutes]:[Minutes]]) *_xlfn.XLOOKUP(I$1,'Provider Rates'!$A$2:$A$15,'Provider Rates'!$C$2:$C$15)</f>
        <v>300</v>
      </c>
      <c r="J13" s="6" cm="1">
        <f t="array" ref="J13">_xlfn.XLOOKUP($B13,CodeMinutesTable[[Code]:[Code]],CodeMinutesTable[[Minutes]:[Minutes]]) *_xlfn.XLOOKUP(J$1,'Provider Rates'!$A$2:$A$15,'Provider Rates'!$C$2:$C$15)</f>
        <v>275</v>
      </c>
      <c r="K13" s="6" cm="1">
        <f t="array" ref="K13">_xlfn.XLOOKUP($B13,CodeMinutesTable[[Code]:[Code]],CodeMinutesTable[[Minutes]:[Minutes]]) *_xlfn.XLOOKUP(K$1,'Provider Rates'!$A$2:$A$15,'Provider Rates'!$C$2:$C$15)</f>
        <v>250.00000000000003</v>
      </c>
      <c r="L13" s="6" cm="1">
        <f t="array" ref="L13">_xlfn.XLOOKUP($B13,CodeMinutesTable[[Code]:[Code]],CodeMinutesTable[[Minutes]:[Minutes]]) *_xlfn.XLOOKUP(L$1,'Provider Rates'!$A$2:$A$15,'Provider Rates'!$C$2:$C$15)</f>
        <v>225</v>
      </c>
      <c r="M13" s="6" cm="1">
        <f t="array" ref="M13">_xlfn.XLOOKUP($B13,CodeMinutesTable[[Code]:[Code]],CodeMinutesTable[[Minutes]:[Minutes]]) *_xlfn.XLOOKUP(M$1,'Provider Rates'!$A$2:$A$15,'Provider Rates'!$C$2:$C$15)</f>
        <v>200</v>
      </c>
      <c r="N13" s="6" cm="1">
        <f t="array" ref="N13">_xlfn.XLOOKUP($B13,CodeMinutesTable[[Code]:[Code]],CodeMinutesTable[[Minutes]:[Minutes]]) *_xlfn.XLOOKUP(N$1,'Provider Rates'!$A$2:$A$15,'Provider Rates'!$C$2:$C$15)</f>
        <v>175</v>
      </c>
      <c r="O13" s="6" cm="1">
        <f t="array" ref="O13">_xlfn.XLOOKUP($B13,CodeMinutesTable[[Code]:[Code]],CodeMinutesTable[[Minutes]:[Minutes]]) *_xlfn.XLOOKUP(O$1,'Provider Rates'!$A$2:$A$15,'Provider Rates'!$C$2:$C$15)</f>
        <v>150</v>
      </c>
      <c r="P13" s="6" cm="1">
        <f t="array" ref="P13">_xlfn.XLOOKUP($B13,CodeMinutesTable[[Code]:[Code]],CodeMinutesTable[[Minutes]:[Minutes]]) *_xlfn.XLOOKUP(P$1,'Provider Rates'!$A$2:$A$15,'Provider Rates'!$C$2:$C$15)</f>
        <v>100</v>
      </c>
      <c r="Q13" s="6">
        <f>VLOOKUP($B13, CodeMinutesTable[[Code]:[Minutes]], 3, FALSE) * VLOOKUP(Q$1, ProviderRatesTable[], 3, FALSE)</f>
        <v>75</v>
      </c>
    </row>
    <row r="14" spans="1:17" x14ac:dyDescent="0.25">
      <c r="A14" s="3" t="str">
        <f>INDEX(CodeMinutesTable[Frequently Used],MATCH(CodeRatesTable[[#This Row],[Billing Code]],CodeMinutesTable[Code],0))</f>
        <v>Yes</v>
      </c>
      <c r="B14" s="3" t="s">
        <v>63</v>
      </c>
      <c r="C14" t="s">
        <v>64</v>
      </c>
      <c r="D14" s="6">
        <f>VLOOKUP($B14, CodeMinutesTable[[Code]:[Minutes]], 3, FALSE) * VLOOKUP(D$1, ProviderRatesTable[], 3, FALSE)</f>
        <v>1416.6666666666665</v>
      </c>
      <c r="E14" s="6">
        <f>VLOOKUP($B14, CodeMinutesTable[[Code]:[Minutes]], 3, FALSE) * VLOOKUP(E$1, ProviderRatesTable[], 3, FALSE)</f>
        <v>1333.3333333333335</v>
      </c>
      <c r="F14" s="6">
        <f>VLOOKUP($B14, CodeMinutesTable[[Code]:[Minutes]], 3, FALSE) * VLOOKUP(F$1, ProviderRatesTable[], 3, FALSE)</f>
        <v>1250</v>
      </c>
      <c r="G14" s="6">
        <f>VLOOKUP($B14, CodeMinutesTable[[Code]:[Minutes]], 3, FALSE) * VLOOKUP(G$1, ProviderRatesTable[], 3, FALSE)</f>
        <v>1166.6666666666665</v>
      </c>
      <c r="H14" s="6">
        <f>VLOOKUP($B14, CodeMinutesTable[[Code]:[Minutes]], 3, FALSE) * VLOOKUP(H$1, ProviderRatesTable[], 3, FALSE)</f>
        <v>1083.3333333333335</v>
      </c>
      <c r="I14" s="6">
        <f>VLOOKUP($B14, CodeMinutesTable[[Code]:[Minutes]], 3, FALSE) * VLOOKUP(I$1, ProviderRatesTable[], 3, FALSE)</f>
        <v>1000</v>
      </c>
      <c r="J14" s="6">
        <f>VLOOKUP($B14, CodeMinutesTable[[Code]:[Minutes]], 3, FALSE) * VLOOKUP(J$1, ProviderRatesTable[], 3, FALSE)</f>
        <v>916.66666666666663</v>
      </c>
      <c r="K14" s="6">
        <f>VLOOKUP($B14, CodeMinutesTable[[Code]:[Minutes]], 3, FALSE) * VLOOKUP(K$1, ProviderRatesTable[], 3, FALSE)</f>
        <v>833.33333333333337</v>
      </c>
      <c r="L14" s="6">
        <f>VLOOKUP($B14, CodeMinutesTable[[Code]:[Minutes]], 3, FALSE) * VLOOKUP(L$1, ProviderRatesTable[], 3, FALSE)</f>
        <v>750</v>
      </c>
      <c r="M14" s="6">
        <f>VLOOKUP($B14, CodeMinutesTable[[Code]:[Minutes]], 3, FALSE) * VLOOKUP(M$1, ProviderRatesTable[], 3, FALSE)</f>
        <v>666.66666666666674</v>
      </c>
      <c r="N14" s="6">
        <f>VLOOKUP($B14, CodeMinutesTable[[Code]:[Minutes]], 3, FALSE) * VLOOKUP(N$1, ProviderRatesTable[], 3, FALSE)</f>
        <v>583.33333333333326</v>
      </c>
      <c r="O14" s="6">
        <f>VLOOKUP($B14, CodeMinutesTable[[Code]:[Minutes]], 3, FALSE) * VLOOKUP(O$1, ProviderRatesTable[], 3, FALSE)</f>
        <v>500</v>
      </c>
      <c r="P14" s="6">
        <f>VLOOKUP($B14, CodeMinutesTable[[Code]:[Minutes]], 3, FALSE) * VLOOKUP(P$1, ProviderRatesTable[], 3, FALSE)</f>
        <v>333.33333333333337</v>
      </c>
      <c r="Q14" s="6">
        <f>VLOOKUP($B14, CodeMinutesTable[[Code]:[Minutes]], 3, FALSE) * VLOOKUP(Q$1, ProviderRatesTable[], 3, FALSE)</f>
        <v>250</v>
      </c>
    </row>
    <row r="15" spans="1:17" x14ac:dyDescent="0.25">
      <c r="A15" s="3" t="str">
        <f>INDEX(CodeMinutesTable[Frequently Used],MATCH(CodeRatesTable[[#This Row],[Billing Code]],CodeMinutesTable[Code],0))</f>
        <v>Yes</v>
      </c>
      <c r="B15" s="3" t="s">
        <v>65</v>
      </c>
      <c r="C15" t="s">
        <v>66</v>
      </c>
      <c r="D15" s="6">
        <f>VLOOKUP($B15, CodeMinutesTable[[Code]:[Minutes]], 3, FALSE) * VLOOKUP(D$1, ProviderRatesTable[], 3, FALSE)</f>
        <v>425</v>
      </c>
      <c r="E15" s="6">
        <f>VLOOKUP($B15, CodeMinutesTable[[Code]:[Minutes]], 3, FALSE) * VLOOKUP(E$1, ProviderRatesTable[], 3, FALSE)</f>
        <v>400</v>
      </c>
      <c r="F15" s="6">
        <f>VLOOKUP($B15, CodeMinutesTable[[Code]:[Minutes]], 3, FALSE) * VLOOKUP(F$1, ProviderRatesTable[], 3, FALSE)</f>
        <v>375</v>
      </c>
      <c r="G15" s="6">
        <f>VLOOKUP($B15, CodeMinutesTable[[Code]:[Minutes]], 3, FALSE) * VLOOKUP(G$1, ProviderRatesTable[], 3, FALSE)</f>
        <v>350</v>
      </c>
      <c r="H15" s="6">
        <f>VLOOKUP($B15, CodeMinutesTable[[Code]:[Minutes]], 3, FALSE) * VLOOKUP(H$1, ProviderRatesTable[], 3, FALSE)</f>
        <v>325</v>
      </c>
      <c r="I15" s="6">
        <f>VLOOKUP($B15, CodeMinutesTable[[Code]:[Minutes]], 3, FALSE) * VLOOKUP(I$1, ProviderRatesTable[], 3, FALSE)</f>
        <v>300</v>
      </c>
      <c r="J15" s="6">
        <f>VLOOKUP($B15, CodeMinutesTable[[Code]:[Minutes]], 3, FALSE) * VLOOKUP(J$1, ProviderRatesTable[], 3, FALSE)</f>
        <v>275</v>
      </c>
      <c r="K15" s="6">
        <f>VLOOKUP($B15, CodeMinutesTable[[Code]:[Minutes]], 3, FALSE) * VLOOKUP(K$1, ProviderRatesTable[], 3, FALSE)</f>
        <v>250.00000000000003</v>
      </c>
      <c r="L15" s="6">
        <f>VLOOKUP($B15, CodeMinutesTable[[Code]:[Minutes]], 3, FALSE) * VLOOKUP(L$1, ProviderRatesTable[], 3, FALSE)</f>
        <v>225</v>
      </c>
      <c r="M15" s="6">
        <f>VLOOKUP($B15, CodeMinutesTable[[Code]:[Minutes]], 3, FALSE) * VLOOKUP(M$1, ProviderRatesTable[], 3, FALSE)</f>
        <v>200</v>
      </c>
      <c r="N15" s="6">
        <f>VLOOKUP($B15, CodeMinutesTable[[Code]:[Minutes]], 3, FALSE) * VLOOKUP(N$1, ProviderRatesTable[], 3, FALSE)</f>
        <v>175</v>
      </c>
      <c r="O15" s="6">
        <f>VLOOKUP($B15, CodeMinutesTable[[Code]:[Minutes]], 3, FALSE) * VLOOKUP(O$1, ProviderRatesTable[], 3, FALSE)</f>
        <v>150</v>
      </c>
      <c r="P15" s="6">
        <f>VLOOKUP($B15, CodeMinutesTable[[Code]:[Minutes]], 3, FALSE) * VLOOKUP(P$1, ProviderRatesTable[], 3, FALSE)</f>
        <v>100</v>
      </c>
      <c r="Q15" s="6">
        <f>VLOOKUP($B15, CodeMinutesTable[[Code]:[Minutes]], 3, FALSE) * VLOOKUP(Q$1, ProviderRatesTable[], 3, FALSE)</f>
        <v>75</v>
      </c>
    </row>
    <row r="16" spans="1:17" x14ac:dyDescent="0.25">
      <c r="A16" s="3" t="str">
        <f>INDEX(CodeMinutesTable[Frequently Used],MATCH(CodeRatesTable[[#This Row],[Billing Code]],CodeMinutesTable[Code],0))</f>
        <v>Yes</v>
      </c>
      <c r="B16" s="3" t="s">
        <v>67</v>
      </c>
      <c r="C16" t="s">
        <v>68</v>
      </c>
      <c r="D16" s="6">
        <f>VLOOKUP($B16, CodeMinutesTable[[Code]:[Minutes]], 3, FALSE) * VLOOKUP(D$1, ProviderRatesTable[], 3, FALSE)</f>
        <v>425</v>
      </c>
      <c r="E16" s="6">
        <f>VLOOKUP($B16, CodeMinutesTable[[Code]:[Minutes]], 3, FALSE) * VLOOKUP(E$1, ProviderRatesTable[], 3, FALSE)</f>
        <v>400</v>
      </c>
      <c r="F16" s="6">
        <f>VLOOKUP($B16, CodeMinutesTable[[Code]:[Minutes]], 3, FALSE) * VLOOKUP(F$1, ProviderRatesTable[], 3, FALSE)</f>
        <v>375</v>
      </c>
      <c r="G16" s="6">
        <f>VLOOKUP($B16, CodeMinutesTable[[Code]:[Minutes]], 3, FALSE) * VLOOKUP(G$1, ProviderRatesTable[], 3, FALSE)</f>
        <v>350</v>
      </c>
      <c r="H16" s="6">
        <f>VLOOKUP($B16, CodeMinutesTable[[Code]:[Minutes]], 3, FALSE) * VLOOKUP(H$1, ProviderRatesTable[], 3, FALSE)</f>
        <v>325</v>
      </c>
      <c r="I16" s="6">
        <f>VLOOKUP($B16, CodeMinutesTable[[Code]:[Minutes]], 3, FALSE) * VLOOKUP(I$1, ProviderRatesTable[], 3, FALSE)</f>
        <v>300</v>
      </c>
      <c r="J16" s="6">
        <f>VLOOKUP($B16, CodeMinutesTable[[Code]:[Minutes]], 3, FALSE) * VLOOKUP(J$1, ProviderRatesTable[], 3, FALSE)</f>
        <v>275</v>
      </c>
      <c r="K16" s="6">
        <f>VLOOKUP($B16, CodeMinutesTable[[Code]:[Minutes]], 3, FALSE) * VLOOKUP(K$1, ProviderRatesTable[], 3, FALSE)</f>
        <v>250.00000000000003</v>
      </c>
      <c r="L16" s="6">
        <f>VLOOKUP($B16, CodeMinutesTable[[Code]:[Minutes]], 3, FALSE) * VLOOKUP(L$1, ProviderRatesTable[], 3, FALSE)</f>
        <v>225</v>
      </c>
      <c r="M16" s="6">
        <f>VLOOKUP($B16, CodeMinutesTable[[Code]:[Minutes]], 3, FALSE) * VLOOKUP(M$1, ProviderRatesTable[], 3, FALSE)</f>
        <v>200</v>
      </c>
      <c r="N16" s="6">
        <f>VLOOKUP($B16, CodeMinutesTable[[Code]:[Minutes]], 3, FALSE) * VLOOKUP(N$1, ProviderRatesTable[], 3, FALSE)</f>
        <v>175</v>
      </c>
      <c r="O16" s="6">
        <f>VLOOKUP($B16, CodeMinutesTable[[Code]:[Minutes]], 3, FALSE) * VLOOKUP(O$1, ProviderRatesTable[], 3, FALSE)</f>
        <v>150</v>
      </c>
      <c r="P16" s="6">
        <f>VLOOKUP($B16, CodeMinutesTable[[Code]:[Minutes]], 3, FALSE) * VLOOKUP(P$1, ProviderRatesTable[], 3, FALSE)</f>
        <v>100</v>
      </c>
      <c r="Q16" s="6">
        <f>VLOOKUP($B16, CodeMinutesTable[[Code]:[Minutes]], 3, FALSE) * VLOOKUP(Q$1, ProviderRatesTable[], 3, FALSE)</f>
        <v>75</v>
      </c>
    </row>
    <row r="17" spans="1:17" hidden="1" x14ac:dyDescent="0.25">
      <c r="A17" s="3" t="str">
        <f>INDEX(CodeMinutesTable[Frequently Used],MATCH(CodeRatesTable[[#This Row],[Billing Code]],CodeMinutesTable[Code],0))</f>
        <v>No</v>
      </c>
      <c r="B17" s="3" t="s">
        <v>69</v>
      </c>
      <c r="C17" t="s">
        <v>70</v>
      </c>
      <c r="D17" s="6">
        <f>VLOOKUP($B17, CodeMinutesTable[[Code]:[Minutes]], 3, FALSE) * VLOOKUP(D$1, ProviderRatesTable[], 3, FALSE)</f>
        <v>425</v>
      </c>
      <c r="E17" s="6" cm="1">
        <f t="array" ref="E17">_xlfn.XLOOKUP($B17,CodeMinutesTable[[Code]:[Code]],CodeMinutesTable[[Minutes]:[Minutes]]) *_xlfn.XLOOKUP(E$1,'Provider Rates'!$A$2:$A$15,'Provider Rates'!$C$2:$C$15)</f>
        <v>400</v>
      </c>
      <c r="F17" s="6" cm="1">
        <f t="array" ref="F17">_xlfn.XLOOKUP($B17,CodeMinutesTable[[Code]:[Code]],CodeMinutesTable[[Minutes]:[Minutes]]) *_xlfn.XLOOKUP(F$1,'Provider Rates'!$A$2:$A$15,'Provider Rates'!$C$2:$C$15)</f>
        <v>375</v>
      </c>
      <c r="G17" s="6" cm="1">
        <f t="array" ref="G17">_xlfn.XLOOKUP($B17,CodeMinutesTable[[Code]:[Code]],CodeMinutesTable[[Minutes]:[Minutes]]) *_xlfn.XLOOKUP(G$1,'Provider Rates'!$A$2:$A$15,'Provider Rates'!$C$2:$C$15)</f>
        <v>350</v>
      </c>
      <c r="H17" s="6" cm="1">
        <f t="array" ref="H17">_xlfn.XLOOKUP($B17,CodeMinutesTable[[Code]:[Code]],CodeMinutesTable[[Minutes]:[Minutes]]) *_xlfn.XLOOKUP(H$1,'Provider Rates'!$A$2:$A$15,'Provider Rates'!$C$2:$C$15)</f>
        <v>325</v>
      </c>
      <c r="I17" s="6" cm="1">
        <f t="array" ref="I17">_xlfn.XLOOKUP($B17,CodeMinutesTable[[Code]:[Code]],CodeMinutesTable[[Minutes]:[Minutes]]) *_xlfn.XLOOKUP(I$1,'Provider Rates'!$A$2:$A$15,'Provider Rates'!$C$2:$C$15)</f>
        <v>300</v>
      </c>
      <c r="J17" s="6" cm="1">
        <f t="array" ref="J17">_xlfn.XLOOKUP($B17,CodeMinutesTable[[Code]:[Code]],CodeMinutesTable[[Minutes]:[Minutes]]) *_xlfn.XLOOKUP(J$1,'Provider Rates'!$A$2:$A$15,'Provider Rates'!$C$2:$C$15)</f>
        <v>275</v>
      </c>
      <c r="K17" s="6" cm="1">
        <f t="array" ref="K17">_xlfn.XLOOKUP($B17,CodeMinutesTable[[Code]:[Code]],CodeMinutesTable[[Minutes]:[Minutes]]) *_xlfn.XLOOKUP(K$1,'Provider Rates'!$A$2:$A$15,'Provider Rates'!$C$2:$C$15)</f>
        <v>250.00000000000003</v>
      </c>
      <c r="L17" s="6" cm="1">
        <f t="array" ref="L17">_xlfn.XLOOKUP($B17,CodeMinutesTable[[Code]:[Code]],CodeMinutesTable[[Minutes]:[Minutes]]) *_xlfn.XLOOKUP(L$1,'Provider Rates'!$A$2:$A$15,'Provider Rates'!$C$2:$C$15)</f>
        <v>225</v>
      </c>
      <c r="M17" s="6" cm="1">
        <f t="array" ref="M17">_xlfn.XLOOKUP($B17,CodeMinutesTable[[Code]:[Code]],CodeMinutesTable[[Minutes]:[Minutes]]) *_xlfn.XLOOKUP(M$1,'Provider Rates'!$A$2:$A$15,'Provider Rates'!$C$2:$C$15)</f>
        <v>200</v>
      </c>
      <c r="N17" s="6" cm="1">
        <f t="array" ref="N17">_xlfn.XLOOKUP($B17,CodeMinutesTable[[Code]:[Code]],CodeMinutesTable[[Minutes]:[Minutes]]) *_xlfn.XLOOKUP(N$1,'Provider Rates'!$A$2:$A$15,'Provider Rates'!$C$2:$C$15)</f>
        <v>175</v>
      </c>
      <c r="O17" s="6" cm="1">
        <f t="array" ref="O17">_xlfn.XLOOKUP($B17,CodeMinutesTable[[Code]:[Code]],CodeMinutesTable[[Minutes]:[Minutes]]) *_xlfn.XLOOKUP(O$1,'Provider Rates'!$A$2:$A$15,'Provider Rates'!$C$2:$C$15)</f>
        <v>150</v>
      </c>
      <c r="P17" s="6" cm="1">
        <f t="array" ref="P17">_xlfn.XLOOKUP($B17,CodeMinutesTable[[Code]:[Code]],CodeMinutesTable[[Minutes]:[Minutes]]) *_xlfn.XLOOKUP(P$1,'Provider Rates'!$A$2:$A$15,'Provider Rates'!$C$2:$C$15)</f>
        <v>100</v>
      </c>
      <c r="Q17" s="6">
        <f>VLOOKUP($B17, CodeMinutesTable[[Code]:[Minutes]], 3, FALSE) * VLOOKUP(Q$1, ProviderRatesTable[], 3, FALSE)</f>
        <v>75</v>
      </c>
    </row>
    <row r="18" spans="1:17" hidden="1" x14ac:dyDescent="0.25">
      <c r="A18" s="3" t="str">
        <f>INDEX(CodeMinutesTable[Frequently Used],MATCH(CodeRatesTable[[#This Row],[Billing Code]],CodeMinutesTable[Code],0))</f>
        <v>No</v>
      </c>
      <c r="B18" s="3" t="s">
        <v>71</v>
      </c>
      <c r="C18" t="s">
        <v>72</v>
      </c>
      <c r="D18" s="6">
        <f>VLOOKUP($B18, CodeMinutesTable[[Code]:[Minutes]], 3, FALSE) * VLOOKUP(D$1, ProviderRatesTable[], 3, FALSE)</f>
        <v>425</v>
      </c>
      <c r="E18" s="6" cm="1">
        <f t="array" ref="E18">_xlfn.XLOOKUP($B18,CodeMinutesTable[[Code]:[Code]],CodeMinutesTable[[Minutes]:[Minutes]]) *_xlfn.XLOOKUP(E$1,'Provider Rates'!$A$2:$A$15,'Provider Rates'!$C$2:$C$15)</f>
        <v>400</v>
      </c>
      <c r="F18" s="6" cm="1">
        <f t="array" ref="F18">_xlfn.XLOOKUP($B18,CodeMinutesTable[[Code]:[Code]],CodeMinutesTable[[Minutes]:[Minutes]]) *_xlfn.XLOOKUP(F$1,'Provider Rates'!$A$2:$A$15,'Provider Rates'!$C$2:$C$15)</f>
        <v>375</v>
      </c>
      <c r="G18" s="6" cm="1">
        <f t="array" ref="G18">_xlfn.XLOOKUP($B18,CodeMinutesTable[[Code]:[Code]],CodeMinutesTable[[Minutes]:[Minutes]]) *_xlfn.XLOOKUP(G$1,'Provider Rates'!$A$2:$A$15,'Provider Rates'!$C$2:$C$15)</f>
        <v>350</v>
      </c>
      <c r="H18" s="6" cm="1">
        <f t="array" ref="H18">_xlfn.XLOOKUP($B18,CodeMinutesTable[[Code]:[Code]],CodeMinutesTable[[Minutes]:[Minutes]]) *_xlfn.XLOOKUP(H$1,'Provider Rates'!$A$2:$A$15,'Provider Rates'!$C$2:$C$15)</f>
        <v>325</v>
      </c>
      <c r="I18" s="6" cm="1">
        <f t="array" ref="I18">_xlfn.XLOOKUP($B18,CodeMinutesTable[[Code]:[Code]],CodeMinutesTable[[Minutes]:[Minutes]]) *_xlfn.XLOOKUP(I$1,'Provider Rates'!$A$2:$A$15,'Provider Rates'!$C$2:$C$15)</f>
        <v>300</v>
      </c>
      <c r="J18" s="6" cm="1">
        <f t="array" ref="J18">_xlfn.XLOOKUP($B18,CodeMinutesTable[[Code]:[Code]],CodeMinutesTable[[Minutes]:[Minutes]]) *_xlfn.XLOOKUP(J$1,'Provider Rates'!$A$2:$A$15,'Provider Rates'!$C$2:$C$15)</f>
        <v>275</v>
      </c>
      <c r="K18" s="6" cm="1">
        <f t="array" ref="K18">_xlfn.XLOOKUP($B18,CodeMinutesTable[[Code]:[Code]],CodeMinutesTable[[Minutes]:[Minutes]]) *_xlfn.XLOOKUP(K$1,'Provider Rates'!$A$2:$A$15,'Provider Rates'!$C$2:$C$15)</f>
        <v>250.00000000000003</v>
      </c>
      <c r="L18" s="6" cm="1">
        <f t="array" ref="L18">_xlfn.XLOOKUP($B18,CodeMinutesTable[[Code]:[Code]],CodeMinutesTable[[Minutes]:[Minutes]]) *_xlfn.XLOOKUP(L$1,'Provider Rates'!$A$2:$A$15,'Provider Rates'!$C$2:$C$15)</f>
        <v>225</v>
      </c>
      <c r="M18" s="6" cm="1">
        <f t="array" ref="M18">_xlfn.XLOOKUP($B18,CodeMinutesTable[[Code]:[Code]],CodeMinutesTable[[Minutes]:[Minutes]]) *_xlfn.XLOOKUP(M$1,'Provider Rates'!$A$2:$A$15,'Provider Rates'!$C$2:$C$15)</f>
        <v>200</v>
      </c>
      <c r="N18" s="6" cm="1">
        <f t="array" ref="N18">_xlfn.XLOOKUP($B18,CodeMinutesTable[[Code]:[Code]],CodeMinutesTable[[Minutes]:[Minutes]]) *_xlfn.XLOOKUP(N$1,'Provider Rates'!$A$2:$A$15,'Provider Rates'!$C$2:$C$15)</f>
        <v>175</v>
      </c>
      <c r="O18" s="6" cm="1">
        <f t="array" ref="O18">_xlfn.XLOOKUP($B18,CodeMinutesTable[[Code]:[Code]],CodeMinutesTable[[Minutes]:[Minutes]]) *_xlfn.XLOOKUP(O$1,'Provider Rates'!$A$2:$A$15,'Provider Rates'!$C$2:$C$15)</f>
        <v>150</v>
      </c>
      <c r="P18" s="6" cm="1">
        <f t="array" ref="P18">_xlfn.XLOOKUP($B18,CodeMinutesTable[[Code]:[Code]],CodeMinutesTable[[Minutes]:[Minutes]]) *_xlfn.XLOOKUP(P$1,'Provider Rates'!$A$2:$A$15,'Provider Rates'!$C$2:$C$15)</f>
        <v>100</v>
      </c>
      <c r="Q18" s="6">
        <f>VLOOKUP($B18, CodeMinutesTable[[Code]:[Minutes]], 3, FALSE) * VLOOKUP(Q$1, ProviderRatesTable[], 3, FALSE)</f>
        <v>75</v>
      </c>
    </row>
    <row r="19" spans="1:17" hidden="1" x14ac:dyDescent="0.25">
      <c r="A19" s="3" t="str">
        <f>INDEX(CodeMinutesTable[Frequently Used],MATCH(CodeRatesTable[[#This Row],[Billing Code]],CodeMinutesTable[Code],0))</f>
        <v>No</v>
      </c>
      <c r="B19" s="3" t="s">
        <v>73</v>
      </c>
      <c r="C19" t="s">
        <v>74</v>
      </c>
      <c r="D19" s="6">
        <f>VLOOKUP($B19, CodeMinutesTable[[Code]:[Minutes]], 3, FALSE) * VLOOKUP(D$1, ProviderRatesTable[], 3, FALSE)</f>
        <v>425</v>
      </c>
      <c r="E19" s="6" cm="1">
        <f t="array" ref="E19">_xlfn.XLOOKUP($B19,CodeMinutesTable[[Code]:[Code]],CodeMinutesTable[[Minutes]:[Minutes]]) *_xlfn.XLOOKUP(E$1,'Provider Rates'!$A$2:$A$15,'Provider Rates'!$C$2:$C$15)</f>
        <v>400</v>
      </c>
      <c r="F19" s="6" cm="1">
        <f t="array" ref="F19">_xlfn.XLOOKUP($B19,CodeMinutesTable[[Code]:[Code]],CodeMinutesTable[[Minutes]:[Minutes]]) *_xlfn.XLOOKUP(F$1,'Provider Rates'!$A$2:$A$15,'Provider Rates'!$C$2:$C$15)</f>
        <v>375</v>
      </c>
      <c r="G19" s="6" cm="1">
        <f t="array" ref="G19">_xlfn.XLOOKUP($B19,CodeMinutesTable[[Code]:[Code]],CodeMinutesTable[[Minutes]:[Minutes]]) *_xlfn.XLOOKUP(G$1,'Provider Rates'!$A$2:$A$15,'Provider Rates'!$C$2:$C$15)</f>
        <v>350</v>
      </c>
      <c r="H19" s="6" cm="1">
        <f t="array" ref="H19">_xlfn.XLOOKUP($B19,CodeMinutesTable[[Code]:[Code]],CodeMinutesTable[[Minutes]:[Minutes]]) *_xlfn.XLOOKUP(H$1,'Provider Rates'!$A$2:$A$15,'Provider Rates'!$C$2:$C$15)</f>
        <v>325</v>
      </c>
      <c r="I19" s="6" cm="1">
        <f t="array" ref="I19">_xlfn.XLOOKUP($B19,CodeMinutesTable[[Code]:[Code]],CodeMinutesTable[[Minutes]:[Minutes]]) *_xlfn.XLOOKUP(I$1,'Provider Rates'!$A$2:$A$15,'Provider Rates'!$C$2:$C$15)</f>
        <v>300</v>
      </c>
      <c r="J19" s="6" cm="1">
        <f t="array" ref="J19">_xlfn.XLOOKUP($B19,CodeMinutesTable[[Code]:[Code]],CodeMinutesTable[[Minutes]:[Minutes]]) *_xlfn.XLOOKUP(J$1,'Provider Rates'!$A$2:$A$15,'Provider Rates'!$C$2:$C$15)</f>
        <v>275</v>
      </c>
      <c r="K19" s="6" cm="1">
        <f t="array" ref="K19">_xlfn.XLOOKUP($B19,CodeMinutesTable[[Code]:[Code]],CodeMinutesTable[[Minutes]:[Minutes]]) *_xlfn.XLOOKUP(K$1,'Provider Rates'!$A$2:$A$15,'Provider Rates'!$C$2:$C$15)</f>
        <v>250.00000000000003</v>
      </c>
      <c r="L19" s="6" cm="1">
        <f t="array" ref="L19">_xlfn.XLOOKUP($B19,CodeMinutesTable[[Code]:[Code]],CodeMinutesTable[[Minutes]:[Minutes]]) *_xlfn.XLOOKUP(L$1,'Provider Rates'!$A$2:$A$15,'Provider Rates'!$C$2:$C$15)</f>
        <v>225</v>
      </c>
      <c r="M19" s="6" cm="1">
        <f t="array" ref="M19">_xlfn.XLOOKUP($B19,CodeMinutesTable[[Code]:[Code]],CodeMinutesTable[[Minutes]:[Minutes]]) *_xlfn.XLOOKUP(M$1,'Provider Rates'!$A$2:$A$15,'Provider Rates'!$C$2:$C$15)</f>
        <v>200</v>
      </c>
      <c r="N19" s="6" cm="1">
        <f t="array" ref="N19">_xlfn.XLOOKUP($B19,CodeMinutesTable[[Code]:[Code]],CodeMinutesTable[[Minutes]:[Minutes]]) *_xlfn.XLOOKUP(N$1,'Provider Rates'!$A$2:$A$15,'Provider Rates'!$C$2:$C$15)</f>
        <v>175</v>
      </c>
      <c r="O19" s="6" cm="1">
        <f t="array" ref="O19">_xlfn.XLOOKUP($B19,CodeMinutesTable[[Code]:[Code]],CodeMinutesTable[[Minutes]:[Minutes]]) *_xlfn.XLOOKUP(O$1,'Provider Rates'!$A$2:$A$15,'Provider Rates'!$C$2:$C$15)</f>
        <v>150</v>
      </c>
      <c r="P19" s="6" cm="1">
        <f t="array" ref="P19">_xlfn.XLOOKUP($B19,CodeMinutesTable[[Code]:[Code]],CodeMinutesTable[[Minutes]:[Minutes]]) *_xlfn.XLOOKUP(P$1,'Provider Rates'!$A$2:$A$15,'Provider Rates'!$C$2:$C$15)</f>
        <v>100</v>
      </c>
      <c r="Q19" s="6">
        <f>VLOOKUP($B19, CodeMinutesTable[[Code]:[Minutes]], 3, FALSE) * VLOOKUP(Q$1, ProviderRatesTable[], 3, FALSE)</f>
        <v>75</v>
      </c>
    </row>
    <row r="20" spans="1:17" hidden="1" x14ac:dyDescent="0.25">
      <c r="A20" s="3" t="str">
        <f>INDEX(CodeMinutesTable[Frequently Used],MATCH(CodeRatesTable[[#This Row],[Billing Code]],CodeMinutesTable[Code],0))</f>
        <v>No</v>
      </c>
      <c r="B20" s="3" t="s">
        <v>75</v>
      </c>
      <c r="C20" t="s">
        <v>76</v>
      </c>
      <c r="D20" s="6">
        <f>VLOOKUP($B20, CodeMinutesTable[[Code]:[Minutes]], 3, FALSE) * VLOOKUP(D$1, ProviderRatesTable[], 3, FALSE)</f>
        <v>425</v>
      </c>
      <c r="E20" s="6" cm="1">
        <f t="array" ref="E20">_xlfn.XLOOKUP($B20,CodeMinutesTable[[Code]:[Code]],CodeMinutesTable[[Minutes]:[Minutes]]) *_xlfn.XLOOKUP(E$1,'Provider Rates'!$A$2:$A$15,'Provider Rates'!$C$2:$C$15)</f>
        <v>400</v>
      </c>
      <c r="F20" s="6" cm="1">
        <f t="array" ref="F20">_xlfn.XLOOKUP($B20,CodeMinutesTable[[Code]:[Code]],CodeMinutesTable[[Minutes]:[Minutes]]) *_xlfn.XLOOKUP(F$1,'Provider Rates'!$A$2:$A$15,'Provider Rates'!$C$2:$C$15)</f>
        <v>375</v>
      </c>
      <c r="G20" s="6" cm="1">
        <f t="array" ref="G20">_xlfn.XLOOKUP($B20,CodeMinutesTable[[Code]:[Code]],CodeMinutesTable[[Minutes]:[Minutes]]) *_xlfn.XLOOKUP(G$1,'Provider Rates'!$A$2:$A$15,'Provider Rates'!$C$2:$C$15)</f>
        <v>350</v>
      </c>
      <c r="H20" s="6" cm="1">
        <f t="array" ref="H20">_xlfn.XLOOKUP($B20,CodeMinutesTable[[Code]:[Code]],CodeMinutesTable[[Minutes]:[Minutes]]) *_xlfn.XLOOKUP(H$1,'Provider Rates'!$A$2:$A$15,'Provider Rates'!$C$2:$C$15)</f>
        <v>325</v>
      </c>
      <c r="I20" s="6" cm="1">
        <f t="array" ref="I20">_xlfn.XLOOKUP($B20,CodeMinutesTable[[Code]:[Code]],CodeMinutesTable[[Minutes]:[Minutes]]) *_xlfn.XLOOKUP(I$1,'Provider Rates'!$A$2:$A$15,'Provider Rates'!$C$2:$C$15)</f>
        <v>300</v>
      </c>
      <c r="J20" s="6" cm="1">
        <f t="array" ref="J20">_xlfn.XLOOKUP($B20,CodeMinutesTable[[Code]:[Code]],CodeMinutesTable[[Minutes]:[Minutes]]) *_xlfn.XLOOKUP(J$1,'Provider Rates'!$A$2:$A$15,'Provider Rates'!$C$2:$C$15)</f>
        <v>275</v>
      </c>
      <c r="K20" s="6" cm="1">
        <f t="array" ref="K20">_xlfn.XLOOKUP($B20,CodeMinutesTable[[Code]:[Code]],CodeMinutesTable[[Minutes]:[Minutes]]) *_xlfn.XLOOKUP(K$1,'Provider Rates'!$A$2:$A$15,'Provider Rates'!$C$2:$C$15)</f>
        <v>250.00000000000003</v>
      </c>
      <c r="L20" s="6" cm="1">
        <f t="array" ref="L20">_xlfn.XLOOKUP($B20,CodeMinutesTable[[Code]:[Code]],CodeMinutesTable[[Minutes]:[Minutes]]) *_xlfn.XLOOKUP(L$1,'Provider Rates'!$A$2:$A$15,'Provider Rates'!$C$2:$C$15)</f>
        <v>225</v>
      </c>
      <c r="M20" s="6" cm="1">
        <f t="array" ref="M20">_xlfn.XLOOKUP($B20,CodeMinutesTable[[Code]:[Code]],CodeMinutesTable[[Minutes]:[Minutes]]) *_xlfn.XLOOKUP(M$1,'Provider Rates'!$A$2:$A$15,'Provider Rates'!$C$2:$C$15)</f>
        <v>200</v>
      </c>
      <c r="N20" s="6" cm="1">
        <f t="array" ref="N20">_xlfn.XLOOKUP($B20,CodeMinutesTable[[Code]:[Code]],CodeMinutesTable[[Minutes]:[Minutes]]) *_xlfn.XLOOKUP(N$1,'Provider Rates'!$A$2:$A$15,'Provider Rates'!$C$2:$C$15)</f>
        <v>175</v>
      </c>
      <c r="O20" s="6" cm="1">
        <f t="array" ref="O20">_xlfn.XLOOKUP($B20,CodeMinutesTable[[Code]:[Code]],CodeMinutesTable[[Minutes]:[Minutes]]) *_xlfn.XLOOKUP(O$1,'Provider Rates'!$A$2:$A$15,'Provider Rates'!$C$2:$C$15)</f>
        <v>150</v>
      </c>
      <c r="P20" s="6" cm="1">
        <f t="array" ref="P20">_xlfn.XLOOKUP($B20,CodeMinutesTable[[Code]:[Code]],CodeMinutesTable[[Minutes]:[Minutes]]) *_xlfn.XLOOKUP(P$1,'Provider Rates'!$A$2:$A$15,'Provider Rates'!$C$2:$C$15)</f>
        <v>100</v>
      </c>
      <c r="Q20" s="6">
        <f>VLOOKUP($B20, CodeMinutesTable[[Code]:[Minutes]], 3, FALSE) * VLOOKUP(Q$1, ProviderRatesTable[], 3, FALSE)</f>
        <v>75</v>
      </c>
    </row>
    <row r="21" spans="1:17" hidden="1" x14ac:dyDescent="0.25">
      <c r="A21" s="3" t="str">
        <f>INDEX(CodeMinutesTable[Frequently Used],MATCH(CodeRatesTable[[#This Row],[Billing Code]],CodeMinutesTable[Code],0))</f>
        <v>No</v>
      </c>
      <c r="B21" s="3" t="s">
        <v>77</v>
      </c>
      <c r="C21" t="s">
        <v>78</v>
      </c>
      <c r="D21" s="6">
        <f>VLOOKUP($B21, CodeMinutesTable[[Code]:[Minutes]], 3, FALSE) * VLOOKUP(D$1, ProviderRatesTable[], 3, FALSE)</f>
        <v>425</v>
      </c>
      <c r="E21" s="6" cm="1">
        <f t="array" ref="E21">_xlfn.XLOOKUP($B21,CodeMinutesTable[[Code]:[Code]],CodeMinutesTable[[Minutes]:[Minutes]]) *_xlfn.XLOOKUP(E$1,'Provider Rates'!$A$2:$A$15,'Provider Rates'!$C$2:$C$15)</f>
        <v>400</v>
      </c>
      <c r="F21" s="6" cm="1">
        <f t="array" ref="F21">_xlfn.XLOOKUP($B21,CodeMinutesTable[[Code]:[Code]],CodeMinutesTable[[Minutes]:[Minutes]]) *_xlfn.XLOOKUP(F$1,'Provider Rates'!$A$2:$A$15,'Provider Rates'!$C$2:$C$15)</f>
        <v>375</v>
      </c>
      <c r="G21" s="6" cm="1">
        <f t="array" ref="G21">_xlfn.XLOOKUP($B21,CodeMinutesTable[[Code]:[Code]],CodeMinutesTable[[Minutes]:[Minutes]]) *_xlfn.XLOOKUP(G$1,'Provider Rates'!$A$2:$A$15,'Provider Rates'!$C$2:$C$15)</f>
        <v>350</v>
      </c>
      <c r="H21" s="6" cm="1">
        <f t="array" ref="H21">_xlfn.XLOOKUP($B21,CodeMinutesTable[[Code]:[Code]],CodeMinutesTable[[Minutes]:[Minutes]]) *_xlfn.XLOOKUP(H$1,'Provider Rates'!$A$2:$A$15,'Provider Rates'!$C$2:$C$15)</f>
        <v>325</v>
      </c>
      <c r="I21" s="6" cm="1">
        <f t="array" ref="I21">_xlfn.XLOOKUP($B21,CodeMinutesTable[[Code]:[Code]],CodeMinutesTable[[Minutes]:[Minutes]]) *_xlfn.XLOOKUP(I$1,'Provider Rates'!$A$2:$A$15,'Provider Rates'!$C$2:$C$15)</f>
        <v>300</v>
      </c>
      <c r="J21" s="6" cm="1">
        <f t="array" ref="J21">_xlfn.XLOOKUP($B21,CodeMinutesTable[[Code]:[Code]],CodeMinutesTable[[Minutes]:[Minutes]]) *_xlfn.XLOOKUP(J$1,'Provider Rates'!$A$2:$A$15,'Provider Rates'!$C$2:$C$15)</f>
        <v>275</v>
      </c>
      <c r="K21" s="6" cm="1">
        <f t="array" ref="K21">_xlfn.XLOOKUP($B21,CodeMinutesTable[[Code]:[Code]],CodeMinutesTable[[Minutes]:[Minutes]]) *_xlfn.XLOOKUP(K$1,'Provider Rates'!$A$2:$A$15,'Provider Rates'!$C$2:$C$15)</f>
        <v>250.00000000000003</v>
      </c>
      <c r="L21" s="6" cm="1">
        <f t="array" ref="L21">_xlfn.XLOOKUP($B21,CodeMinutesTable[[Code]:[Code]],CodeMinutesTable[[Minutes]:[Minutes]]) *_xlfn.XLOOKUP(L$1,'Provider Rates'!$A$2:$A$15,'Provider Rates'!$C$2:$C$15)</f>
        <v>225</v>
      </c>
      <c r="M21" s="6" cm="1">
        <f t="array" ref="M21">_xlfn.XLOOKUP($B21,CodeMinutesTable[[Code]:[Code]],CodeMinutesTable[[Minutes]:[Minutes]]) *_xlfn.XLOOKUP(M$1,'Provider Rates'!$A$2:$A$15,'Provider Rates'!$C$2:$C$15)</f>
        <v>200</v>
      </c>
      <c r="N21" s="6" cm="1">
        <f t="array" ref="N21">_xlfn.XLOOKUP($B21,CodeMinutesTable[[Code]:[Code]],CodeMinutesTable[[Minutes]:[Minutes]]) *_xlfn.XLOOKUP(N$1,'Provider Rates'!$A$2:$A$15,'Provider Rates'!$C$2:$C$15)</f>
        <v>175</v>
      </c>
      <c r="O21" s="6" cm="1">
        <f t="array" ref="O21">_xlfn.XLOOKUP($B21,CodeMinutesTable[[Code]:[Code]],CodeMinutesTable[[Minutes]:[Minutes]]) *_xlfn.XLOOKUP(O$1,'Provider Rates'!$A$2:$A$15,'Provider Rates'!$C$2:$C$15)</f>
        <v>150</v>
      </c>
      <c r="P21" s="6" cm="1">
        <f t="array" ref="P21">_xlfn.XLOOKUP($B21,CodeMinutesTable[[Code]:[Code]],CodeMinutesTable[[Minutes]:[Minutes]]) *_xlfn.XLOOKUP(P$1,'Provider Rates'!$A$2:$A$15,'Provider Rates'!$C$2:$C$15)</f>
        <v>100</v>
      </c>
      <c r="Q21" s="6">
        <f>VLOOKUP($B21, CodeMinutesTable[[Code]:[Minutes]], 3, FALSE) * VLOOKUP(Q$1, ProviderRatesTable[], 3, FALSE)</f>
        <v>75</v>
      </c>
    </row>
    <row r="22" spans="1:17" hidden="1" x14ac:dyDescent="0.25">
      <c r="A22" s="3" t="str">
        <f>INDEX(CodeMinutesTable[Frequently Used],MATCH(CodeRatesTable[[#This Row],[Billing Code]],CodeMinutesTable[Code],0))</f>
        <v>No</v>
      </c>
      <c r="B22" s="3" t="s">
        <v>79</v>
      </c>
      <c r="C22" t="s">
        <v>80</v>
      </c>
      <c r="D22" s="6">
        <f>VLOOKUP($B22, CodeMinutesTable[[Code]:[Minutes]], 3, FALSE) * VLOOKUP(D$1, ProviderRatesTable[], 3, FALSE)</f>
        <v>1700</v>
      </c>
      <c r="E22" s="6" cm="1">
        <f t="array" ref="E22">_xlfn.XLOOKUP($B22,CodeMinutesTable[[Code]:[Code]],CodeMinutesTable[[Minutes]:[Minutes]]) *_xlfn.XLOOKUP(E$1,'Provider Rates'!$A$2:$A$15,'Provider Rates'!$C$2:$C$15)</f>
        <v>1600</v>
      </c>
      <c r="F22" s="6" cm="1">
        <f t="array" ref="F22">_xlfn.XLOOKUP($B22,CodeMinutesTable[[Code]:[Code]],CodeMinutesTable[[Minutes]:[Minutes]]) *_xlfn.XLOOKUP(F$1,'Provider Rates'!$A$2:$A$15,'Provider Rates'!$C$2:$C$15)</f>
        <v>1500</v>
      </c>
      <c r="G22" s="6" cm="1">
        <f t="array" ref="G22">_xlfn.XLOOKUP($B22,CodeMinutesTable[[Code]:[Code]],CodeMinutesTable[[Minutes]:[Minutes]]) *_xlfn.XLOOKUP(G$1,'Provider Rates'!$A$2:$A$15,'Provider Rates'!$C$2:$C$15)</f>
        <v>1400</v>
      </c>
      <c r="H22" s="6" cm="1">
        <f t="array" ref="H22">_xlfn.XLOOKUP($B22,CodeMinutesTable[[Code]:[Code]],CodeMinutesTable[[Minutes]:[Minutes]]) *_xlfn.XLOOKUP(H$1,'Provider Rates'!$A$2:$A$15,'Provider Rates'!$C$2:$C$15)</f>
        <v>1300</v>
      </c>
      <c r="I22" s="6" cm="1">
        <f t="array" ref="I22">_xlfn.XLOOKUP($B22,CodeMinutesTable[[Code]:[Code]],CodeMinutesTable[[Minutes]:[Minutes]]) *_xlfn.XLOOKUP(I$1,'Provider Rates'!$A$2:$A$15,'Provider Rates'!$C$2:$C$15)</f>
        <v>1200</v>
      </c>
      <c r="J22" s="6" cm="1">
        <f t="array" ref="J22">_xlfn.XLOOKUP($B22,CodeMinutesTable[[Code]:[Code]],CodeMinutesTable[[Minutes]:[Minutes]]) *_xlfn.XLOOKUP(J$1,'Provider Rates'!$A$2:$A$15,'Provider Rates'!$C$2:$C$15)</f>
        <v>1100</v>
      </c>
      <c r="K22" s="6" cm="1">
        <f t="array" ref="K22">_xlfn.XLOOKUP($B22,CodeMinutesTable[[Code]:[Code]],CodeMinutesTable[[Minutes]:[Minutes]]) *_xlfn.XLOOKUP(K$1,'Provider Rates'!$A$2:$A$15,'Provider Rates'!$C$2:$C$15)</f>
        <v>1000.0000000000001</v>
      </c>
      <c r="L22" s="6" cm="1">
        <f t="array" ref="L22">_xlfn.XLOOKUP($B22,CodeMinutesTable[[Code]:[Code]],CodeMinutesTable[[Minutes]:[Minutes]]) *_xlfn.XLOOKUP(L$1,'Provider Rates'!$A$2:$A$15,'Provider Rates'!$C$2:$C$15)</f>
        <v>900</v>
      </c>
      <c r="M22" s="6" cm="1">
        <f t="array" ref="M22">_xlfn.XLOOKUP($B22,CodeMinutesTable[[Code]:[Code]],CodeMinutesTable[[Minutes]:[Minutes]]) *_xlfn.XLOOKUP(M$1,'Provider Rates'!$A$2:$A$15,'Provider Rates'!$C$2:$C$15)</f>
        <v>800</v>
      </c>
      <c r="N22" s="6" cm="1">
        <f t="array" ref="N22">_xlfn.XLOOKUP($B22,CodeMinutesTable[[Code]:[Code]],CodeMinutesTable[[Minutes]:[Minutes]]) *_xlfn.XLOOKUP(N$1,'Provider Rates'!$A$2:$A$15,'Provider Rates'!$C$2:$C$15)</f>
        <v>700</v>
      </c>
      <c r="O22" s="6" cm="1">
        <f t="array" ref="O22">_xlfn.XLOOKUP($B22,CodeMinutesTable[[Code]:[Code]],CodeMinutesTable[[Minutes]:[Minutes]]) *_xlfn.XLOOKUP(O$1,'Provider Rates'!$A$2:$A$15,'Provider Rates'!$C$2:$C$15)</f>
        <v>600</v>
      </c>
      <c r="P22" s="6" cm="1">
        <f t="array" ref="P22">_xlfn.XLOOKUP($B22,CodeMinutesTable[[Code]:[Code]],CodeMinutesTable[[Minutes]:[Minutes]]) *_xlfn.XLOOKUP(P$1,'Provider Rates'!$A$2:$A$15,'Provider Rates'!$C$2:$C$15)</f>
        <v>400</v>
      </c>
      <c r="Q22" s="6">
        <f>VLOOKUP($B22, CodeMinutesTable[[Code]:[Minutes]], 3, FALSE) * VLOOKUP(Q$1, ProviderRatesTable[], 3, FALSE)</f>
        <v>300</v>
      </c>
    </row>
    <row r="23" spans="1:17" x14ac:dyDescent="0.25">
      <c r="A23" s="3" t="str">
        <f>INDEX(CodeMinutesTable[Frequently Used],MATCH(CodeRatesTable[[#This Row],[Billing Code]],CodeMinutesTable[Code],0))</f>
        <v>Yes</v>
      </c>
      <c r="B23" s="3" t="s">
        <v>81</v>
      </c>
      <c r="C23" t="s">
        <v>82</v>
      </c>
      <c r="D23" s="6">
        <f>VLOOKUP($B23, CodeMinutesTable[[Code]:[Minutes]], 3, FALSE) * VLOOKUP(D$1, ProviderRatesTable[], 3, FALSE)</f>
        <v>425</v>
      </c>
      <c r="E23" s="6">
        <f>VLOOKUP($B23, CodeMinutesTable[[Code]:[Minutes]], 3, FALSE) * VLOOKUP(E$1, ProviderRatesTable[], 3, FALSE)</f>
        <v>400</v>
      </c>
      <c r="F23" s="6">
        <f>VLOOKUP($B23, CodeMinutesTable[[Code]:[Minutes]], 3, FALSE) * VLOOKUP(F$1, ProviderRatesTable[], 3, FALSE)</f>
        <v>375</v>
      </c>
      <c r="G23" s="6">
        <f>VLOOKUP($B23, CodeMinutesTable[[Code]:[Minutes]], 3, FALSE) * VLOOKUP(G$1, ProviderRatesTable[], 3, FALSE)</f>
        <v>350</v>
      </c>
      <c r="H23" s="6">
        <f>VLOOKUP($B23, CodeMinutesTable[[Code]:[Minutes]], 3, FALSE) * VLOOKUP(H$1, ProviderRatesTable[], 3, FALSE)</f>
        <v>325</v>
      </c>
      <c r="I23" s="6">
        <f>VLOOKUP($B23, CodeMinutesTable[[Code]:[Minutes]], 3, FALSE) * VLOOKUP(I$1, ProviderRatesTable[], 3, FALSE)</f>
        <v>300</v>
      </c>
      <c r="J23" s="6">
        <f>VLOOKUP($B23, CodeMinutesTable[[Code]:[Minutes]], 3, FALSE) * VLOOKUP(J$1, ProviderRatesTable[], 3, FALSE)</f>
        <v>275</v>
      </c>
      <c r="K23" s="6">
        <f>VLOOKUP($B23, CodeMinutesTable[[Code]:[Minutes]], 3, FALSE) * VLOOKUP(K$1, ProviderRatesTable[], 3, FALSE)</f>
        <v>250.00000000000003</v>
      </c>
      <c r="L23" s="6">
        <f>VLOOKUP($B23, CodeMinutesTable[[Code]:[Minutes]], 3, FALSE) * VLOOKUP(L$1, ProviderRatesTable[], 3, FALSE)</f>
        <v>225</v>
      </c>
      <c r="M23" s="6">
        <f>VLOOKUP($B23, CodeMinutesTable[[Code]:[Minutes]], 3, FALSE) * VLOOKUP(M$1, ProviderRatesTable[], 3, FALSE)</f>
        <v>200</v>
      </c>
      <c r="N23" s="6">
        <f>VLOOKUP($B23, CodeMinutesTable[[Code]:[Minutes]], 3, FALSE) * VLOOKUP(N$1, ProviderRatesTable[], 3, FALSE)</f>
        <v>175</v>
      </c>
      <c r="O23" s="6">
        <f>VLOOKUP($B23, CodeMinutesTable[[Code]:[Minutes]], 3, FALSE) * VLOOKUP(O$1, ProviderRatesTable[], 3, FALSE)</f>
        <v>150</v>
      </c>
      <c r="P23" s="6">
        <f>VLOOKUP($B23, CodeMinutesTable[[Code]:[Minutes]], 3, FALSE) * VLOOKUP(P$1, ProviderRatesTable[], 3, FALSE)</f>
        <v>100</v>
      </c>
      <c r="Q23" s="6">
        <f>VLOOKUP($B23, CodeMinutesTable[[Code]:[Minutes]], 3, FALSE) * VLOOKUP(Q$1, ProviderRatesTable[], 3, FALSE)</f>
        <v>75</v>
      </c>
    </row>
    <row r="24" spans="1:17" x14ac:dyDescent="0.25">
      <c r="A24" s="3" t="str">
        <f>INDEX(CodeMinutesTable[Frequently Used],MATCH(CodeRatesTable[[#This Row],[Billing Code]],CodeMinutesTable[Code],0))</f>
        <v>Yes</v>
      </c>
      <c r="B24" s="3" t="s">
        <v>83</v>
      </c>
      <c r="C24" t="s">
        <v>84</v>
      </c>
      <c r="D24" s="6">
        <f>VLOOKUP($B24, CodeMinutesTable[[Code]:[Minutes]], 3, FALSE) * VLOOKUP(D$1, ProviderRatesTable[], 3, FALSE)</f>
        <v>425</v>
      </c>
      <c r="E24" s="6">
        <f>VLOOKUP($B24, CodeMinutesTable[[Code]:[Minutes]], 3, FALSE) * VLOOKUP(E$1, ProviderRatesTable[], 3, FALSE)</f>
        <v>400</v>
      </c>
      <c r="F24" s="6">
        <f>VLOOKUP($B24, CodeMinutesTable[[Code]:[Minutes]], 3, FALSE) * VLOOKUP(F$1, ProviderRatesTable[], 3, FALSE)</f>
        <v>375</v>
      </c>
      <c r="G24" s="6">
        <f>VLOOKUP($B24, CodeMinutesTable[[Code]:[Minutes]], 3, FALSE) * VLOOKUP(G$1, ProviderRatesTable[], 3, FALSE)</f>
        <v>350</v>
      </c>
      <c r="H24" s="6">
        <f>VLOOKUP($B24, CodeMinutesTable[[Code]:[Minutes]], 3, FALSE) * VLOOKUP(H$1, ProviderRatesTable[], 3, FALSE)</f>
        <v>325</v>
      </c>
      <c r="I24" s="6">
        <f>VLOOKUP($B24, CodeMinutesTable[[Code]:[Minutes]], 3, FALSE) * VLOOKUP(I$1, ProviderRatesTable[], 3, FALSE)</f>
        <v>300</v>
      </c>
      <c r="J24" s="6">
        <f>VLOOKUP($B24, CodeMinutesTable[[Code]:[Minutes]], 3, FALSE) * VLOOKUP(J$1, ProviderRatesTable[], 3, FALSE)</f>
        <v>275</v>
      </c>
      <c r="K24" s="6">
        <f>VLOOKUP($B24, CodeMinutesTable[[Code]:[Minutes]], 3, FALSE) * VLOOKUP(K$1, ProviderRatesTable[], 3, FALSE)</f>
        <v>250.00000000000003</v>
      </c>
      <c r="L24" s="6">
        <f>VLOOKUP($B24, CodeMinutesTable[[Code]:[Minutes]], 3, FALSE) * VLOOKUP(L$1, ProviderRatesTable[], 3, FALSE)</f>
        <v>225</v>
      </c>
      <c r="M24" s="6">
        <f>VLOOKUP($B24, CodeMinutesTable[[Code]:[Minutes]], 3, FALSE) * VLOOKUP(M$1, ProviderRatesTable[], 3, FALSE)</f>
        <v>200</v>
      </c>
      <c r="N24" s="6">
        <f>VLOOKUP($B24, CodeMinutesTable[[Code]:[Minutes]], 3, FALSE) * VLOOKUP(N$1, ProviderRatesTable[], 3, FALSE)</f>
        <v>175</v>
      </c>
      <c r="O24" s="6">
        <f>VLOOKUP($B24, CodeMinutesTable[[Code]:[Minutes]], 3, FALSE) * VLOOKUP(O$1, ProviderRatesTable[], 3, FALSE)</f>
        <v>150</v>
      </c>
      <c r="P24" s="6">
        <f>VLOOKUP($B24, CodeMinutesTable[[Code]:[Minutes]], 3, FALSE) * VLOOKUP(P$1, ProviderRatesTable[], 3, FALSE)</f>
        <v>100</v>
      </c>
      <c r="Q24" s="6">
        <f>VLOOKUP($B24, CodeMinutesTable[[Code]:[Minutes]], 3, FALSE) * VLOOKUP(Q$1, ProviderRatesTable[], 3, FALSE)</f>
        <v>75</v>
      </c>
    </row>
    <row r="25" spans="1:17" hidden="1" x14ac:dyDescent="0.25">
      <c r="A25" s="3" t="str">
        <f>INDEX(CodeMinutesTable[Frequently Used],MATCH(CodeRatesTable[[#This Row],[Billing Code]],CodeMinutesTable[Code],0))</f>
        <v>No</v>
      </c>
      <c r="B25" s="3" t="s">
        <v>85</v>
      </c>
      <c r="C25" t="s">
        <v>86</v>
      </c>
      <c r="D25" s="6">
        <f>VLOOKUP($B25, CodeMinutesTable[[Code]:[Minutes]], 3, FALSE) * VLOOKUP(D$1, ProviderRatesTable[], 3, FALSE)</f>
        <v>1700</v>
      </c>
      <c r="E25" s="6" cm="1">
        <f t="array" ref="E25">_xlfn.XLOOKUP($B25,CodeMinutesTable[[Code]:[Code]],CodeMinutesTable[[Minutes]:[Minutes]]) *_xlfn.XLOOKUP(E$1,'Provider Rates'!$A$2:$A$15,'Provider Rates'!$C$2:$C$15)</f>
        <v>1600</v>
      </c>
      <c r="F25" s="6" cm="1">
        <f t="array" ref="F25">_xlfn.XLOOKUP($B25,CodeMinutesTable[[Code]:[Code]],CodeMinutesTable[[Minutes]:[Minutes]]) *_xlfn.XLOOKUP(F$1,'Provider Rates'!$A$2:$A$15,'Provider Rates'!$C$2:$C$15)</f>
        <v>1500</v>
      </c>
      <c r="G25" s="6" cm="1">
        <f t="array" ref="G25">_xlfn.XLOOKUP($B25,CodeMinutesTable[[Code]:[Code]],CodeMinutesTable[[Minutes]:[Minutes]]) *_xlfn.XLOOKUP(G$1,'Provider Rates'!$A$2:$A$15,'Provider Rates'!$C$2:$C$15)</f>
        <v>1400</v>
      </c>
      <c r="H25" s="6" cm="1">
        <f t="array" ref="H25">_xlfn.XLOOKUP($B25,CodeMinutesTable[[Code]:[Code]],CodeMinutesTable[[Minutes]:[Minutes]]) *_xlfn.XLOOKUP(H$1,'Provider Rates'!$A$2:$A$15,'Provider Rates'!$C$2:$C$15)</f>
        <v>1300</v>
      </c>
      <c r="I25" s="6" cm="1">
        <f t="array" ref="I25">_xlfn.XLOOKUP($B25,CodeMinutesTable[[Code]:[Code]],CodeMinutesTable[[Minutes]:[Minutes]]) *_xlfn.XLOOKUP(I$1,'Provider Rates'!$A$2:$A$15,'Provider Rates'!$C$2:$C$15)</f>
        <v>1200</v>
      </c>
      <c r="J25" s="6" cm="1">
        <f t="array" ref="J25">_xlfn.XLOOKUP($B25,CodeMinutesTable[[Code]:[Code]],CodeMinutesTable[[Minutes]:[Minutes]]) *_xlfn.XLOOKUP(J$1,'Provider Rates'!$A$2:$A$15,'Provider Rates'!$C$2:$C$15)</f>
        <v>1100</v>
      </c>
      <c r="K25" s="6" cm="1">
        <f t="array" ref="K25">_xlfn.XLOOKUP($B25,CodeMinutesTable[[Code]:[Code]],CodeMinutesTable[[Minutes]:[Minutes]]) *_xlfn.XLOOKUP(K$1,'Provider Rates'!$A$2:$A$15,'Provider Rates'!$C$2:$C$15)</f>
        <v>1000.0000000000001</v>
      </c>
      <c r="L25" s="6" cm="1">
        <f t="array" ref="L25">_xlfn.XLOOKUP($B25,CodeMinutesTable[[Code]:[Code]],CodeMinutesTable[[Minutes]:[Minutes]]) *_xlfn.XLOOKUP(L$1,'Provider Rates'!$A$2:$A$15,'Provider Rates'!$C$2:$C$15)</f>
        <v>900</v>
      </c>
      <c r="M25" s="6" cm="1">
        <f t="array" ref="M25">_xlfn.XLOOKUP($B25,CodeMinutesTable[[Code]:[Code]],CodeMinutesTable[[Minutes]:[Minutes]]) *_xlfn.XLOOKUP(M$1,'Provider Rates'!$A$2:$A$15,'Provider Rates'!$C$2:$C$15)</f>
        <v>800</v>
      </c>
      <c r="N25" s="6" cm="1">
        <f t="array" ref="N25">_xlfn.XLOOKUP($B25,CodeMinutesTable[[Code]:[Code]],CodeMinutesTable[[Minutes]:[Minutes]]) *_xlfn.XLOOKUP(N$1,'Provider Rates'!$A$2:$A$15,'Provider Rates'!$C$2:$C$15)</f>
        <v>700</v>
      </c>
      <c r="O25" s="6" cm="1">
        <f t="array" ref="O25">_xlfn.XLOOKUP($B25,CodeMinutesTable[[Code]:[Code]],CodeMinutesTable[[Minutes]:[Minutes]]) *_xlfn.XLOOKUP(O$1,'Provider Rates'!$A$2:$A$15,'Provider Rates'!$C$2:$C$15)</f>
        <v>600</v>
      </c>
      <c r="P25" s="6" cm="1">
        <f t="array" ref="P25">_xlfn.XLOOKUP($B25,CodeMinutesTable[[Code]:[Code]],CodeMinutesTable[[Minutes]:[Minutes]]) *_xlfn.XLOOKUP(P$1,'Provider Rates'!$A$2:$A$15,'Provider Rates'!$C$2:$C$15)</f>
        <v>400</v>
      </c>
      <c r="Q25" s="6">
        <f>VLOOKUP($B25, CodeMinutesTable[[Code]:[Minutes]], 3, FALSE) * VLOOKUP(Q$1, ProviderRatesTable[], 3, FALSE)</f>
        <v>300</v>
      </c>
    </row>
    <row r="26" spans="1:17" hidden="1" x14ac:dyDescent="0.25">
      <c r="A26" s="3" t="str">
        <f>INDEX(CodeMinutesTable[Frequently Used],MATCH(CodeRatesTable[[#This Row],[Billing Code]],CodeMinutesTable[Code],0))</f>
        <v>No</v>
      </c>
      <c r="B26" s="3" t="s">
        <v>87</v>
      </c>
      <c r="C26" t="s">
        <v>88</v>
      </c>
      <c r="D26" s="6">
        <f>VLOOKUP($B26, CodeMinutesTable[[Code]:[Minutes]], 3, FALSE) * VLOOKUP(D$1, ProviderRatesTable[], 3, FALSE)</f>
        <v>425</v>
      </c>
      <c r="E26" s="6" cm="1">
        <f t="array" ref="E26">_xlfn.XLOOKUP($B26,CodeMinutesTable[[Code]:[Code]],CodeMinutesTable[[Minutes]:[Minutes]]) *_xlfn.XLOOKUP(E$1,'Provider Rates'!$A$2:$A$15,'Provider Rates'!$C$2:$C$15)</f>
        <v>400</v>
      </c>
      <c r="F26" s="6" cm="1">
        <f t="array" ref="F26">_xlfn.XLOOKUP($B26,CodeMinutesTable[[Code]:[Code]],CodeMinutesTable[[Minutes]:[Minutes]]) *_xlfn.XLOOKUP(F$1,'Provider Rates'!$A$2:$A$15,'Provider Rates'!$C$2:$C$15)</f>
        <v>375</v>
      </c>
      <c r="G26" s="6" cm="1">
        <f t="array" ref="G26">_xlfn.XLOOKUP($B26,CodeMinutesTable[[Code]:[Code]],CodeMinutesTable[[Minutes]:[Minutes]]) *_xlfn.XLOOKUP(G$1,'Provider Rates'!$A$2:$A$15,'Provider Rates'!$C$2:$C$15)</f>
        <v>350</v>
      </c>
      <c r="H26" s="6" cm="1">
        <f t="array" ref="H26">_xlfn.XLOOKUP($B26,CodeMinutesTable[[Code]:[Code]],CodeMinutesTable[[Minutes]:[Minutes]]) *_xlfn.XLOOKUP(H$1,'Provider Rates'!$A$2:$A$15,'Provider Rates'!$C$2:$C$15)</f>
        <v>325</v>
      </c>
      <c r="I26" s="6" cm="1">
        <f t="array" ref="I26">_xlfn.XLOOKUP($B26,CodeMinutesTable[[Code]:[Code]],CodeMinutesTable[[Minutes]:[Minutes]]) *_xlfn.XLOOKUP(I$1,'Provider Rates'!$A$2:$A$15,'Provider Rates'!$C$2:$C$15)</f>
        <v>300</v>
      </c>
      <c r="J26" s="6" cm="1">
        <f t="array" ref="J26">_xlfn.XLOOKUP($B26,CodeMinutesTable[[Code]:[Code]],CodeMinutesTable[[Minutes]:[Minutes]]) *_xlfn.XLOOKUP(J$1,'Provider Rates'!$A$2:$A$15,'Provider Rates'!$C$2:$C$15)</f>
        <v>275</v>
      </c>
      <c r="K26" s="6" cm="1">
        <f t="array" ref="K26">_xlfn.XLOOKUP($B26,CodeMinutesTable[[Code]:[Code]],CodeMinutesTable[[Minutes]:[Minutes]]) *_xlfn.XLOOKUP(K$1,'Provider Rates'!$A$2:$A$15,'Provider Rates'!$C$2:$C$15)</f>
        <v>250.00000000000003</v>
      </c>
      <c r="L26" s="6" cm="1">
        <f t="array" ref="L26">_xlfn.XLOOKUP($B26,CodeMinutesTable[[Code]:[Code]],CodeMinutesTable[[Minutes]:[Minutes]]) *_xlfn.XLOOKUP(L$1,'Provider Rates'!$A$2:$A$15,'Provider Rates'!$C$2:$C$15)</f>
        <v>225</v>
      </c>
      <c r="M26" s="6" cm="1">
        <f t="array" ref="M26">_xlfn.XLOOKUP($B26,CodeMinutesTable[[Code]:[Code]],CodeMinutesTable[[Minutes]:[Minutes]]) *_xlfn.XLOOKUP(M$1,'Provider Rates'!$A$2:$A$15,'Provider Rates'!$C$2:$C$15)</f>
        <v>200</v>
      </c>
      <c r="N26" s="6" cm="1">
        <f t="array" ref="N26">_xlfn.XLOOKUP($B26,CodeMinutesTable[[Code]:[Code]],CodeMinutesTable[[Minutes]:[Minutes]]) *_xlfn.XLOOKUP(N$1,'Provider Rates'!$A$2:$A$15,'Provider Rates'!$C$2:$C$15)</f>
        <v>175</v>
      </c>
      <c r="O26" s="6" cm="1">
        <f t="array" ref="O26">_xlfn.XLOOKUP($B26,CodeMinutesTable[[Code]:[Code]],CodeMinutesTable[[Minutes]:[Minutes]]) *_xlfn.XLOOKUP(O$1,'Provider Rates'!$A$2:$A$15,'Provider Rates'!$C$2:$C$15)</f>
        <v>150</v>
      </c>
      <c r="P26" s="6" cm="1">
        <f t="array" ref="P26">_xlfn.XLOOKUP($B26,CodeMinutesTable[[Code]:[Code]],CodeMinutesTable[[Minutes]:[Minutes]]) *_xlfn.XLOOKUP(P$1,'Provider Rates'!$A$2:$A$15,'Provider Rates'!$C$2:$C$15)</f>
        <v>100</v>
      </c>
      <c r="Q26" s="6">
        <f>VLOOKUP($B26, CodeMinutesTable[[Code]:[Minutes]], 3, FALSE) * VLOOKUP(Q$1, ProviderRatesTable[], 3, FALSE)</f>
        <v>75</v>
      </c>
    </row>
    <row r="27" spans="1:17" hidden="1" x14ac:dyDescent="0.25">
      <c r="A27" s="3" t="str">
        <f>INDEX(CodeMinutesTable[Frequently Used],MATCH(CodeRatesTable[[#This Row],[Billing Code]],CodeMinutesTable[Code],0))</f>
        <v>No</v>
      </c>
      <c r="B27" s="3" t="s">
        <v>89</v>
      </c>
      <c r="C27" t="s">
        <v>90</v>
      </c>
      <c r="D27" s="6">
        <f>VLOOKUP($B27, CodeMinutesTable[[Code]:[Minutes]], 3, FALSE) * VLOOKUP(D$1, ProviderRatesTable[], 3, FALSE)</f>
        <v>1700</v>
      </c>
      <c r="E27" s="6" cm="1">
        <f t="array" ref="E27">_xlfn.XLOOKUP($B27,CodeMinutesTable[[Code]:[Code]],CodeMinutesTable[[Minutes]:[Minutes]]) *_xlfn.XLOOKUP(E$1,'Provider Rates'!$A$2:$A$15,'Provider Rates'!$C$2:$C$15)</f>
        <v>1600</v>
      </c>
      <c r="F27" s="6" cm="1">
        <f t="array" ref="F27">_xlfn.XLOOKUP($B27,CodeMinutesTable[[Code]:[Code]],CodeMinutesTable[[Minutes]:[Minutes]]) *_xlfn.XLOOKUP(F$1,'Provider Rates'!$A$2:$A$15,'Provider Rates'!$C$2:$C$15)</f>
        <v>1500</v>
      </c>
      <c r="G27" s="6" cm="1">
        <f t="array" ref="G27">_xlfn.XLOOKUP($B27,CodeMinutesTable[[Code]:[Code]],CodeMinutesTable[[Minutes]:[Minutes]]) *_xlfn.XLOOKUP(G$1,'Provider Rates'!$A$2:$A$15,'Provider Rates'!$C$2:$C$15)</f>
        <v>1400</v>
      </c>
      <c r="H27" s="6" cm="1">
        <f t="array" ref="H27">_xlfn.XLOOKUP($B27,CodeMinutesTable[[Code]:[Code]],CodeMinutesTable[[Minutes]:[Minutes]]) *_xlfn.XLOOKUP(H$1,'Provider Rates'!$A$2:$A$15,'Provider Rates'!$C$2:$C$15)</f>
        <v>1300</v>
      </c>
      <c r="I27" s="6" cm="1">
        <f t="array" ref="I27">_xlfn.XLOOKUP($B27,CodeMinutesTable[[Code]:[Code]],CodeMinutesTable[[Minutes]:[Minutes]]) *_xlfn.XLOOKUP(I$1,'Provider Rates'!$A$2:$A$15,'Provider Rates'!$C$2:$C$15)</f>
        <v>1200</v>
      </c>
      <c r="J27" s="6" cm="1">
        <f t="array" ref="J27">_xlfn.XLOOKUP($B27,CodeMinutesTable[[Code]:[Code]],CodeMinutesTable[[Minutes]:[Minutes]]) *_xlfn.XLOOKUP(J$1,'Provider Rates'!$A$2:$A$15,'Provider Rates'!$C$2:$C$15)</f>
        <v>1100</v>
      </c>
      <c r="K27" s="6" cm="1">
        <f t="array" ref="K27">_xlfn.XLOOKUP($B27,CodeMinutesTable[[Code]:[Code]],CodeMinutesTable[[Minutes]:[Minutes]]) *_xlfn.XLOOKUP(K$1,'Provider Rates'!$A$2:$A$15,'Provider Rates'!$C$2:$C$15)</f>
        <v>1000.0000000000001</v>
      </c>
      <c r="L27" s="6" cm="1">
        <f t="array" ref="L27">_xlfn.XLOOKUP($B27,CodeMinutesTable[[Code]:[Code]],CodeMinutesTable[[Minutes]:[Minutes]]) *_xlfn.XLOOKUP(L$1,'Provider Rates'!$A$2:$A$15,'Provider Rates'!$C$2:$C$15)</f>
        <v>900</v>
      </c>
      <c r="M27" s="6" cm="1">
        <f t="array" ref="M27">_xlfn.XLOOKUP($B27,CodeMinutesTable[[Code]:[Code]],CodeMinutesTable[[Minutes]:[Minutes]]) *_xlfn.XLOOKUP(M$1,'Provider Rates'!$A$2:$A$15,'Provider Rates'!$C$2:$C$15)</f>
        <v>800</v>
      </c>
      <c r="N27" s="6" cm="1">
        <f t="array" ref="N27">_xlfn.XLOOKUP($B27,CodeMinutesTable[[Code]:[Code]],CodeMinutesTable[[Minutes]:[Minutes]]) *_xlfn.XLOOKUP(N$1,'Provider Rates'!$A$2:$A$15,'Provider Rates'!$C$2:$C$15)</f>
        <v>700</v>
      </c>
      <c r="O27" s="6" cm="1">
        <f t="array" ref="O27">_xlfn.XLOOKUP($B27,CodeMinutesTable[[Code]:[Code]],CodeMinutesTable[[Minutes]:[Minutes]]) *_xlfn.XLOOKUP(O$1,'Provider Rates'!$A$2:$A$15,'Provider Rates'!$C$2:$C$15)</f>
        <v>600</v>
      </c>
      <c r="P27" s="6" cm="1">
        <f t="array" ref="P27">_xlfn.XLOOKUP($B27,CodeMinutesTable[[Code]:[Code]],CodeMinutesTable[[Minutes]:[Minutes]]) *_xlfn.XLOOKUP(P$1,'Provider Rates'!$A$2:$A$15,'Provider Rates'!$C$2:$C$15)</f>
        <v>400</v>
      </c>
      <c r="Q27" s="6">
        <f>VLOOKUP($B27, CodeMinutesTable[[Code]:[Minutes]], 3, FALSE) * VLOOKUP(Q$1, ProviderRatesTable[], 3, FALSE)</f>
        <v>300</v>
      </c>
    </row>
    <row r="28" spans="1:17" hidden="1" x14ac:dyDescent="0.25">
      <c r="A28" s="3" t="str">
        <f>INDEX(CodeMinutesTable[Frequently Used],MATCH(CodeRatesTable[[#This Row],[Billing Code]],CodeMinutesTable[Code],0))</f>
        <v>No</v>
      </c>
      <c r="B28" s="3" t="s">
        <v>91</v>
      </c>
      <c r="C28" t="s">
        <v>92</v>
      </c>
      <c r="D28" s="6">
        <f>VLOOKUP($B28, CodeMinutesTable[[Code]:[Minutes]], 3, FALSE) * VLOOKUP(D$1, ProviderRatesTable[], 3, FALSE)</f>
        <v>850</v>
      </c>
      <c r="E28" s="6" cm="1">
        <f t="array" ref="E28">_xlfn.XLOOKUP($B28,CodeMinutesTable[[Code]:[Code]],CodeMinutesTable[[Minutes]:[Minutes]]) *_xlfn.XLOOKUP(E$1,'Provider Rates'!$A$2:$A$15,'Provider Rates'!$C$2:$C$15)</f>
        <v>800</v>
      </c>
      <c r="F28" s="6" cm="1">
        <f t="array" ref="F28">_xlfn.XLOOKUP($B28,CodeMinutesTable[[Code]:[Code]],CodeMinutesTable[[Minutes]:[Minutes]]) *_xlfn.XLOOKUP(F$1,'Provider Rates'!$A$2:$A$15,'Provider Rates'!$C$2:$C$15)</f>
        <v>750</v>
      </c>
      <c r="G28" s="6" cm="1">
        <f t="array" ref="G28">_xlfn.XLOOKUP($B28,CodeMinutesTable[[Code]:[Code]],CodeMinutesTable[[Minutes]:[Minutes]]) *_xlfn.XLOOKUP(G$1,'Provider Rates'!$A$2:$A$15,'Provider Rates'!$C$2:$C$15)</f>
        <v>700</v>
      </c>
      <c r="H28" s="6" cm="1">
        <f t="array" ref="H28">_xlfn.XLOOKUP($B28,CodeMinutesTable[[Code]:[Code]],CodeMinutesTable[[Minutes]:[Minutes]]) *_xlfn.XLOOKUP(H$1,'Provider Rates'!$A$2:$A$15,'Provider Rates'!$C$2:$C$15)</f>
        <v>650</v>
      </c>
      <c r="I28" s="6" cm="1">
        <f t="array" ref="I28">_xlfn.XLOOKUP($B28,CodeMinutesTable[[Code]:[Code]],CodeMinutesTable[[Minutes]:[Minutes]]) *_xlfn.XLOOKUP(I$1,'Provider Rates'!$A$2:$A$15,'Provider Rates'!$C$2:$C$15)</f>
        <v>600</v>
      </c>
      <c r="J28" s="6" cm="1">
        <f t="array" ref="J28">_xlfn.XLOOKUP($B28,CodeMinutesTable[[Code]:[Code]],CodeMinutesTable[[Minutes]:[Minutes]]) *_xlfn.XLOOKUP(J$1,'Provider Rates'!$A$2:$A$15,'Provider Rates'!$C$2:$C$15)</f>
        <v>550</v>
      </c>
      <c r="K28" s="6" cm="1">
        <f t="array" ref="K28">_xlfn.XLOOKUP($B28,CodeMinutesTable[[Code]:[Code]],CodeMinutesTable[[Minutes]:[Minutes]]) *_xlfn.XLOOKUP(K$1,'Provider Rates'!$A$2:$A$15,'Provider Rates'!$C$2:$C$15)</f>
        <v>500.00000000000006</v>
      </c>
      <c r="L28" s="6" cm="1">
        <f t="array" ref="L28">_xlfn.XLOOKUP($B28,CodeMinutesTable[[Code]:[Code]],CodeMinutesTable[[Minutes]:[Minutes]]) *_xlfn.XLOOKUP(L$1,'Provider Rates'!$A$2:$A$15,'Provider Rates'!$C$2:$C$15)</f>
        <v>450</v>
      </c>
      <c r="M28" s="6" cm="1">
        <f t="array" ref="M28">_xlfn.XLOOKUP($B28,CodeMinutesTable[[Code]:[Code]],CodeMinutesTable[[Minutes]:[Minutes]]) *_xlfn.XLOOKUP(M$1,'Provider Rates'!$A$2:$A$15,'Provider Rates'!$C$2:$C$15)</f>
        <v>400</v>
      </c>
      <c r="N28" s="6" cm="1">
        <f t="array" ref="N28">_xlfn.XLOOKUP($B28,CodeMinutesTable[[Code]:[Code]],CodeMinutesTable[[Minutes]:[Minutes]]) *_xlfn.XLOOKUP(N$1,'Provider Rates'!$A$2:$A$15,'Provider Rates'!$C$2:$C$15)</f>
        <v>350</v>
      </c>
      <c r="O28" s="6" cm="1">
        <f t="array" ref="O28">_xlfn.XLOOKUP($B28,CodeMinutesTable[[Code]:[Code]],CodeMinutesTable[[Minutes]:[Minutes]]) *_xlfn.XLOOKUP(O$1,'Provider Rates'!$A$2:$A$15,'Provider Rates'!$C$2:$C$15)</f>
        <v>300</v>
      </c>
      <c r="P28" s="6" cm="1">
        <f t="array" ref="P28">_xlfn.XLOOKUP($B28,CodeMinutesTable[[Code]:[Code]],CodeMinutesTable[[Minutes]:[Minutes]]) *_xlfn.XLOOKUP(P$1,'Provider Rates'!$A$2:$A$15,'Provider Rates'!$C$2:$C$15)</f>
        <v>200</v>
      </c>
      <c r="Q28" s="6">
        <f>VLOOKUP($B28, CodeMinutesTable[[Code]:[Minutes]], 3, FALSE) * VLOOKUP(Q$1, ProviderRatesTable[], 3, FALSE)</f>
        <v>150</v>
      </c>
    </row>
    <row r="29" spans="1:17" hidden="1" x14ac:dyDescent="0.25">
      <c r="A29" s="3" t="str">
        <f>INDEX(CodeMinutesTable[Frequently Used],MATCH(CodeRatesTable[[#This Row],[Billing Code]],CodeMinutesTable[Code],0))</f>
        <v>No</v>
      </c>
      <c r="B29" s="3" t="s">
        <v>93</v>
      </c>
      <c r="C29" t="s">
        <v>94</v>
      </c>
      <c r="D29" s="6">
        <f>VLOOKUP($B29, CodeMinutesTable[[Code]:[Minutes]], 3, FALSE) * VLOOKUP(D$1, ProviderRatesTable[], 3, FALSE)</f>
        <v>1700</v>
      </c>
      <c r="E29" s="6" cm="1">
        <f t="array" ref="E29">_xlfn.XLOOKUP($B29,CodeMinutesTable[[Code]:[Code]],CodeMinutesTable[[Minutes]:[Minutes]]) *_xlfn.XLOOKUP(E$1,'Provider Rates'!$A$2:$A$15,'Provider Rates'!$C$2:$C$15)</f>
        <v>1600</v>
      </c>
      <c r="F29" s="6" cm="1">
        <f t="array" ref="F29">_xlfn.XLOOKUP($B29,CodeMinutesTable[[Code]:[Code]],CodeMinutesTable[[Minutes]:[Minutes]]) *_xlfn.XLOOKUP(F$1,'Provider Rates'!$A$2:$A$15,'Provider Rates'!$C$2:$C$15)</f>
        <v>1500</v>
      </c>
      <c r="G29" s="6" cm="1">
        <f t="array" ref="G29">_xlfn.XLOOKUP($B29,CodeMinutesTable[[Code]:[Code]],CodeMinutesTable[[Minutes]:[Minutes]]) *_xlfn.XLOOKUP(G$1,'Provider Rates'!$A$2:$A$15,'Provider Rates'!$C$2:$C$15)</f>
        <v>1400</v>
      </c>
      <c r="H29" s="6" cm="1">
        <f t="array" ref="H29">_xlfn.XLOOKUP($B29,CodeMinutesTable[[Code]:[Code]],CodeMinutesTable[[Minutes]:[Minutes]]) *_xlfn.XLOOKUP(H$1,'Provider Rates'!$A$2:$A$15,'Provider Rates'!$C$2:$C$15)</f>
        <v>1300</v>
      </c>
      <c r="I29" s="6" cm="1">
        <f t="array" ref="I29">_xlfn.XLOOKUP($B29,CodeMinutesTable[[Code]:[Code]],CodeMinutesTable[[Minutes]:[Minutes]]) *_xlfn.XLOOKUP(I$1,'Provider Rates'!$A$2:$A$15,'Provider Rates'!$C$2:$C$15)</f>
        <v>1200</v>
      </c>
      <c r="J29" s="6" cm="1">
        <f t="array" ref="J29">_xlfn.XLOOKUP($B29,CodeMinutesTable[[Code]:[Code]],CodeMinutesTable[[Minutes]:[Minutes]]) *_xlfn.XLOOKUP(J$1,'Provider Rates'!$A$2:$A$15,'Provider Rates'!$C$2:$C$15)</f>
        <v>1100</v>
      </c>
      <c r="K29" s="6" cm="1">
        <f t="array" ref="K29">_xlfn.XLOOKUP($B29,CodeMinutesTable[[Code]:[Code]],CodeMinutesTable[[Minutes]:[Minutes]]) *_xlfn.XLOOKUP(K$1,'Provider Rates'!$A$2:$A$15,'Provider Rates'!$C$2:$C$15)</f>
        <v>1000.0000000000001</v>
      </c>
      <c r="L29" s="6" cm="1">
        <f t="array" ref="L29">_xlfn.XLOOKUP($B29,CodeMinutesTable[[Code]:[Code]],CodeMinutesTable[[Minutes]:[Minutes]]) *_xlfn.XLOOKUP(L$1,'Provider Rates'!$A$2:$A$15,'Provider Rates'!$C$2:$C$15)</f>
        <v>900</v>
      </c>
      <c r="M29" s="6" cm="1">
        <f t="array" ref="M29">_xlfn.XLOOKUP($B29,CodeMinutesTable[[Code]:[Code]],CodeMinutesTable[[Minutes]:[Minutes]]) *_xlfn.XLOOKUP(M$1,'Provider Rates'!$A$2:$A$15,'Provider Rates'!$C$2:$C$15)</f>
        <v>800</v>
      </c>
      <c r="N29" s="6" cm="1">
        <f t="array" ref="N29">_xlfn.XLOOKUP($B29,CodeMinutesTable[[Code]:[Code]],CodeMinutesTable[[Minutes]:[Minutes]]) *_xlfn.XLOOKUP(N$1,'Provider Rates'!$A$2:$A$15,'Provider Rates'!$C$2:$C$15)</f>
        <v>700</v>
      </c>
      <c r="O29" s="6" cm="1">
        <f t="array" ref="O29">_xlfn.XLOOKUP($B29,CodeMinutesTable[[Code]:[Code]],CodeMinutesTable[[Minutes]:[Minutes]]) *_xlfn.XLOOKUP(O$1,'Provider Rates'!$A$2:$A$15,'Provider Rates'!$C$2:$C$15)</f>
        <v>600</v>
      </c>
      <c r="P29" s="6" cm="1">
        <f t="array" ref="P29">_xlfn.XLOOKUP($B29,CodeMinutesTable[[Code]:[Code]],CodeMinutesTable[[Minutes]:[Minutes]]) *_xlfn.XLOOKUP(P$1,'Provider Rates'!$A$2:$A$15,'Provider Rates'!$C$2:$C$15)</f>
        <v>400</v>
      </c>
      <c r="Q29" s="6">
        <f>VLOOKUP($B29, CodeMinutesTable[[Code]:[Minutes]], 3, FALSE) * VLOOKUP(Q$1, ProviderRatesTable[], 3, FALSE)</f>
        <v>300</v>
      </c>
    </row>
    <row r="30" spans="1:17" hidden="1" x14ac:dyDescent="0.25">
      <c r="A30" s="3" t="str">
        <f>INDEX(CodeMinutesTable[Frequently Used],MATCH(CodeRatesTable[[#This Row],[Billing Code]],CodeMinutesTable[Code],0))</f>
        <v>No</v>
      </c>
      <c r="B30" s="3" t="s">
        <v>95</v>
      </c>
      <c r="C30" t="s">
        <v>96</v>
      </c>
      <c r="D30" s="6">
        <f>VLOOKUP($B30, CodeMinutesTable[[Code]:[Minutes]], 3, FALSE) * VLOOKUP(D$1, ProviderRatesTable[], 3, FALSE)</f>
        <v>1700</v>
      </c>
      <c r="E30" s="6" cm="1">
        <f t="array" ref="E30">_xlfn.XLOOKUP($B30,CodeMinutesTable[[Code]:[Code]],CodeMinutesTable[[Minutes]:[Minutes]]) *_xlfn.XLOOKUP(E$1,'Provider Rates'!$A$2:$A$15,'Provider Rates'!$C$2:$C$15)</f>
        <v>1600</v>
      </c>
      <c r="F30" s="6" cm="1">
        <f t="array" ref="F30">_xlfn.XLOOKUP($B30,CodeMinutesTable[[Code]:[Code]],CodeMinutesTable[[Minutes]:[Minutes]]) *_xlfn.XLOOKUP(F$1,'Provider Rates'!$A$2:$A$15,'Provider Rates'!$C$2:$C$15)</f>
        <v>1500</v>
      </c>
      <c r="G30" s="6" cm="1">
        <f t="array" ref="G30">_xlfn.XLOOKUP($B30,CodeMinutesTable[[Code]:[Code]],CodeMinutesTable[[Minutes]:[Minutes]]) *_xlfn.XLOOKUP(G$1,'Provider Rates'!$A$2:$A$15,'Provider Rates'!$C$2:$C$15)</f>
        <v>1400</v>
      </c>
      <c r="H30" s="6" cm="1">
        <f t="array" ref="H30">_xlfn.XLOOKUP($B30,CodeMinutesTable[[Code]:[Code]],CodeMinutesTable[[Minutes]:[Minutes]]) *_xlfn.XLOOKUP(H$1,'Provider Rates'!$A$2:$A$15,'Provider Rates'!$C$2:$C$15)</f>
        <v>1300</v>
      </c>
      <c r="I30" s="6" cm="1">
        <f t="array" ref="I30">_xlfn.XLOOKUP($B30,CodeMinutesTable[[Code]:[Code]],CodeMinutesTable[[Minutes]:[Minutes]]) *_xlfn.XLOOKUP(I$1,'Provider Rates'!$A$2:$A$15,'Provider Rates'!$C$2:$C$15)</f>
        <v>1200</v>
      </c>
      <c r="J30" s="6" cm="1">
        <f t="array" ref="J30">_xlfn.XLOOKUP($B30,CodeMinutesTable[[Code]:[Code]],CodeMinutesTable[[Minutes]:[Minutes]]) *_xlfn.XLOOKUP(J$1,'Provider Rates'!$A$2:$A$15,'Provider Rates'!$C$2:$C$15)</f>
        <v>1100</v>
      </c>
      <c r="K30" s="6" cm="1">
        <f t="array" ref="K30">_xlfn.XLOOKUP($B30,CodeMinutesTable[[Code]:[Code]],CodeMinutesTable[[Minutes]:[Minutes]]) *_xlfn.XLOOKUP(K$1,'Provider Rates'!$A$2:$A$15,'Provider Rates'!$C$2:$C$15)</f>
        <v>1000.0000000000001</v>
      </c>
      <c r="L30" s="6" cm="1">
        <f t="array" ref="L30">_xlfn.XLOOKUP($B30,CodeMinutesTable[[Code]:[Code]],CodeMinutesTable[[Minutes]:[Minutes]]) *_xlfn.XLOOKUP(L$1,'Provider Rates'!$A$2:$A$15,'Provider Rates'!$C$2:$C$15)</f>
        <v>900</v>
      </c>
      <c r="M30" s="6" cm="1">
        <f t="array" ref="M30">_xlfn.XLOOKUP($B30,CodeMinutesTable[[Code]:[Code]],CodeMinutesTable[[Minutes]:[Minutes]]) *_xlfn.XLOOKUP(M$1,'Provider Rates'!$A$2:$A$15,'Provider Rates'!$C$2:$C$15)</f>
        <v>800</v>
      </c>
      <c r="N30" s="6" cm="1">
        <f t="array" ref="N30">_xlfn.XLOOKUP($B30,CodeMinutesTable[[Code]:[Code]],CodeMinutesTable[[Minutes]:[Minutes]]) *_xlfn.XLOOKUP(N$1,'Provider Rates'!$A$2:$A$15,'Provider Rates'!$C$2:$C$15)</f>
        <v>700</v>
      </c>
      <c r="O30" s="6" cm="1">
        <f t="array" ref="O30">_xlfn.XLOOKUP($B30,CodeMinutesTable[[Code]:[Code]],CodeMinutesTable[[Minutes]:[Minutes]]) *_xlfn.XLOOKUP(O$1,'Provider Rates'!$A$2:$A$15,'Provider Rates'!$C$2:$C$15)</f>
        <v>600</v>
      </c>
      <c r="P30" s="6" cm="1">
        <f t="array" ref="P30">_xlfn.XLOOKUP($B30,CodeMinutesTable[[Code]:[Code]],CodeMinutesTable[[Minutes]:[Minutes]]) *_xlfn.XLOOKUP(P$1,'Provider Rates'!$A$2:$A$15,'Provider Rates'!$C$2:$C$15)</f>
        <v>400</v>
      </c>
      <c r="Q30" s="6">
        <f>VLOOKUP($B30, CodeMinutesTable[[Code]:[Minutes]], 3, FALSE) * VLOOKUP(Q$1, ProviderRatesTable[], 3, FALSE)</f>
        <v>300</v>
      </c>
    </row>
    <row r="31" spans="1:17" hidden="1" x14ac:dyDescent="0.25">
      <c r="A31" s="3" t="str">
        <f>INDEX(CodeMinutesTable[Frequently Used],MATCH(CodeRatesTable[[#This Row],[Billing Code]],CodeMinutesTable[Code],0))</f>
        <v>No</v>
      </c>
      <c r="B31" s="3" t="s">
        <v>97</v>
      </c>
      <c r="C31" t="s">
        <v>98</v>
      </c>
      <c r="D31" s="6">
        <f>VLOOKUP($B31, CodeMinutesTable[[Code]:[Minutes]], 3, FALSE) * VLOOKUP(D$1, ProviderRatesTable[], 3, FALSE)</f>
        <v>1700</v>
      </c>
      <c r="E31" s="6" cm="1">
        <f t="array" ref="E31">_xlfn.XLOOKUP($B31,CodeMinutesTable[[Code]:[Code]],CodeMinutesTable[[Minutes]:[Minutes]]) *_xlfn.XLOOKUP(E$1,'Provider Rates'!$A$2:$A$15,'Provider Rates'!$C$2:$C$15)</f>
        <v>1600</v>
      </c>
      <c r="F31" s="6" cm="1">
        <f t="array" ref="F31">_xlfn.XLOOKUP($B31,CodeMinutesTable[[Code]:[Code]],CodeMinutesTable[[Minutes]:[Minutes]]) *_xlfn.XLOOKUP(F$1,'Provider Rates'!$A$2:$A$15,'Provider Rates'!$C$2:$C$15)</f>
        <v>1500</v>
      </c>
      <c r="G31" s="6" cm="1">
        <f t="array" ref="G31">_xlfn.XLOOKUP($B31,CodeMinutesTable[[Code]:[Code]],CodeMinutesTable[[Minutes]:[Minutes]]) *_xlfn.XLOOKUP(G$1,'Provider Rates'!$A$2:$A$15,'Provider Rates'!$C$2:$C$15)</f>
        <v>1400</v>
      </c>
      <c r="H31" s="6" cm="1">
        <f t="array" ref="H31">_xlfn.XLOOKUP($B31,CodeMinutesTable[[Code]:[Code]],CodeMinutesTable[[Minutes]:[Minutes]]) *_xlfn.XLOOKUP(H$1,'Provider Rates'!$A$2:$A$15,'Provider Rates'!$C$2:$C$15)</f>
        <v>1300</v>
      </c>
      <c r="I31" s="6" cm="1">
        <f t="array" ref="I31">_xlfn.XLOOKUP($B31,CodeMinutesTable[[Code]:[Code]],CodeMinutesTable[[Minutes]:[Minutes]]) *_xlfn.XLOOKUP(I$1,'Provider Rates'!$A$2:$A$15,'Provider Rates'!$C$2:$C$15)</f>
        <v>1200</v>
      </c>
      <c r="J31" s="6" cm="1">
        <f t="array" ref="J31">_xlfn.XLOOKUP($B31,CodeMinutesTable[[Code]:[Code]],CodeMinutesTable[[Minutes]:[Minutes]]) *_xlfn.XLOOKUP(J$1,'Provider Rates'!$A$2:$A$15,'Provider Rates'!$C$2:$C$15)</f>
        <v>1100</v>
      </c>
      <c r="K31" s="6" cm="1">
        <f t="array" ref="K31">_xlfn.XLOOKUP($B31,CodeMinutesTable[[Code]:[Code]],CodeMinutesTable[[Minutes]:[Minutes]]) *_xlfn.XLOOKUP(K$1,'Provider Rates'!$A$2:$A$15,'Provider Rates'!$C$2:$C$15)</f>
        <v>1000.0000000000001</v>
      </c>
      <c r="L31" s="6" cm="1">
        <f t="array" ref="L31">_xlfn.XLOOKUP($B31,CodeMinutesTable[[Code]:[Code]],CodeMinutesTable[[Minutes]:[Minutes]]) *_xlfn.XLOOKUP(L$1,'Provider Rates'!$A$2:$A$15,'Provider Rates'!$C$2:$C$15)</f>
        <v>900</v>
      </c>
      <c r="M31" s="6" cm="1">
        <f t="array" ref="M31">_xlfn.XLOOKUP($B31,CodeMinutesTable[[Code]:[Code]],CodeMinutesTable[[Minutes]:[Minutes]]) *_xlfn.XLOOKUP(M$1,'Provider Rates'!$A$2:$A$15,'Provider Rates'!$C$2:$C$15)</f>
        <v>800</v>
      </c>
      <c r="N31" s="6" cm="1">
        <f t="array" ref="N31">_xlfn.XLOOKUP($B31,CodeMinutesTable[[Code]:[Code]],CodeMinutesTable[[Minutes]:[Minutes]]) *_xlfn.XLOOKUP(N$1,'Provider Rates'!$A$2:$A$15,'Provider Rates'!$C$2:$C$15)</f>
        <v>700</v>
      </c>
      <c r="O31" s="6" cm="1">
        <f t="array" ref="O31">_xlfn.XLOOKUP($B31,CodeMinutesTable[[Code]:[Code]],CodeMinutesTable[[Minutes]:[Minutes]]) *_xlfn.XLOOKUP(O$1,'Provider Rates'!$A$2:$A$15,'Provider Rates'!$C$2:$C$15)</f>
        <v>600</v>
      </c>
      <c r="P31" s="6" cm="1">
        <f t="array" ref="P31">_xlfn.XLOOKUP($B31,CodeMinutesTable[[Code]:[Code]],CodeMinutesTable[[Minutes]:[Minutes]]) *_xlfn.XLOOKUP(P$1,'Provider Rates'!$A$2:$A$15,'Provider Rates'!$C$2:$C$15)</f>
        <v>400</v>
      </c>
      <c r="Q31" s="6">
        <f>VLOOKUP($B31, CodeMinutesTable[[Code]:[Minutes]], 3, FALSE) * VLOOKUP(Q$1, ProviderRatesTable[], 3, FALSE)</f>
        <v>300</v>
      </c>
    </row>
    <row r="32" spans="1:17" hidden="1" x14ac:dyDescent="0.25">
      <c r="A32" s="3" t="str">
        <f>INDEX(CodeMinutesTable[Frequently Used],MATCH(CodeRatesTable[[#This Row],[Billing Code]],CodeMinutesTable[Code],0))</f>
        <v>No</v>
      </c>
      <c r="B32" s="3" t="s">
        <v>99</v>
      </c>
      <c r="C32" t="s">
        <v>100</v>
      </c>
      <c r="D32" s="6">
        <f>VLOOKUP($B32, CodeMinutesTable[[Code]:[Minutes]], 3, FALSE) * VLOOKUP(D$1, ProviderRatesTable[], 3, FALSE)</f>
        <v>425</v>
      </c>
      <c r="E32" s="6" cm="1">
        <f t="array" ref="E32">_xlfn.XLOOKUP($B32,CodeMinutesTable[[Code]:[Code]],CodeMinutesTable[[Minutes]:[Minutes]]) *_xlfn.XLOOKUP(E$1,'Provider Rates'!$A$2:$A$15,'Provider Rates'!$C$2:$C$15)</f>
        <v>400</v>
      </c>
      <c r="F32" s="6" cm="1">
        <f t="array" ref="F32">_xlfn.XLOOKUP($B32,CodeMinutesTable[[Code]:[Code]],CodeMinutesTable[[Minutes]:[Minutes]]) *_xlfn.XLOOKUP(F$1,'Provider Rates'!$A$2:$A$15,'Provider Rates'!$C$2:$C$15)</f>
        <v>375</v>
      </c>
      <c r="G32" s="6" cm="1">
        <f t="array" ref="G32">_xlfn.XLOOKUP($B32,CodeMinutesTable[[Code]:[Code]],CodeMinutesTable[[Minutes]:[Minutes]]) *_xlfn.XLOOKUP(G$1,'Provider Rates'!$A$2:$A$15,'Provider Rates'!$C$2:$C$15)</f>
        <v>350</v>
      </c>
      <c r="H32" s="6" cm="1">
        <f t="array" ref="H32">_xlfn.XLOOKUP($B32,CodeMinutesTable[[Code]:[Code]],CodeMinutesTable[[Minutes]:[Minutes]]) *_xlfn.XLOOKUP(H$1,'Provider Rates'!$A$2:$A$15,'Provider Rates'!$C$2:$C$15)</f>
        <v>325</v>
      </c>
      <c r="I32" s="6" cm="1">
        <f t="array" ref="I32">_xlfn.XLOOKUP($B32,CodeMinutesTable[[Code]:[Code]],CodeMinutesTable[[Minutes]:[Minutes]]) *_xlfn.XLOOKUP(I$1,'Provider Rates'!$A$2:$A$15,'Provider Rates'!$C$2:$C$15)</f>
        <v>300</v>
      </c>
      <c r="J32" s="6" cm="1">
        <f t="array" ref="J32">_xlfn.XLOOKUP($B32,CodeMinutesTable[[Code]:[Code]],CodeMinutesTable[[Minutes]:[Minutes]]) *_xlfn.XLOOKUP(J$1,'Provider Rates'!$A$2:$A$15,'Provider Rates'!$C$2:$C$15)</f>
        <v>275</v>
      </c>
      <c r="K32" s="6" cm="1">
        <f t="array" ref="K32">_xlfn.XLOOKUP($B32,CodeMinutesTable[[Code]:[Code]],CodeMinutesTable[[Minutes]:[Minutes]]) *_xlfn.XLOOKUP(K$1,'Provider Rates'!$A$2:$A$15,'Provider Rates'!$C$2:$C$15)</f>
        <v>250.00000000000003</v>
      </c>
      <c r="L32" s="6" cm="1">
        <f t="array" ref="L32">_xlfn.XLOOKUP($B32,CodeMinutesTable[[Code]:[Code]],CodeMinutesTable[[Minutes]:[Minutes]]) *_xlfn.XLOOKUP(L$1,'Provider Rates'!$A$2:$A$15,'Provider Rates'!$C$2:$C$15)</f>
        <v>225</v>
      </c>
      <c r="M32" s="6" cm="1">
        <f t="array" ref="M32">_xlfn.XLOOKUP($B32,CodeMinutesTable[[Code]:[Code]],CodeMinutesTable[[Minutes]:[Minutes]]) *_xlfn.XLOOKUP(M$1,'Provider Rates'!$A$2:$A$15,'Provider Rates'!$C$2:$C$15)</f>
        <v>200</v>
      </c>
      <c r="N32" s="6" cm="1">
        <f t="array" ref="N32">_xlfn.XLOOKUP($B32,CodeMinutesTable[[Code]:[Code]],CodeMinutesTable[[Minutes]:[Minutes]]) *_xlfn.XLOOKUP(N$1,'Provider Rates'!$A$2:$A$15,'Provider Rates'!$C$2:$C$15)</f>
        <v>175</v>
      </c>
      <c r="O32" s="6" cm="1">
        <f t="array" ref="O32">_xlfn.XLOOKUP($B32,CodeMinutesTable[[Code]:[Code]],CodeMinutesTable[[Minutes]:[Minutes]]) *_xlfn.XLOOKUP(O$1,'Provider Rates'!$A$2:$A$15,'Provider Rates'!$C$2:$C$15)</f>
        <v>150</v>
      </c>
      <c r="P32" s="6" cm="1">
        <f t="array" ref="P32">_xlfn.XLOOKUP($B32,CodeMinutesTable[[Code]:[Code]],CodeMinutesTable[[Minutes]:[Minutes]]) *_xlfn.XLOOKUP(P$1,'Provider Rates'!$A$2:$A$15,'Provider Rates'!$C$2:$C$15)</f>
        <v>100</v>
      </c>
      <c r="Q32" s="6">
        <f>VLOOKUP($B32, CodeMinutesTable[[Code]:[Minutes]], 3, FALSE) * VLOOKUP(Q$1, ProviderRatesTable[], 3, FALSE)</f>
        <v>75</v>
      </c>
    </row>
    <row r="33" spans="1:17" x14ac:dyDescent="0.25">
      <c r="A33" s="3" t="str">
        <f>INDEX(CodeMinutesTable[Frequently Used],MATCH(CodeRatesTable[[#This Row],[Billing Code]],CodeMinutesTable[Code],0))</f>
        <v>Yes</v>
      </c>
      <c r="B33" s="3" t="s">
        <v>101</v>
      </c>
      <c r="C33" t="s">
        <v>102</v>
      </c>
      <c r="D33" s="6">
        <f>VLOOKUP($B33, CodeMinutesTable[[Code]:[Minutes]], 3, FALSE) * VLOOKUP(D$1, ProviderRatesTable[], 3, FALSE)</f>
        <v>1700</v>
      </c>
      <c r="E33" s="6">
        <f>VLOOKUP($B33, CodeMinutesTable[[Code]:[Minutes]], 3, FALSE) * VLOOKUP(E$1, ProviderRatesTable[], 3, FALSE)</f>
        <v>1600</v>
      </c>
      <c r="F33" s="6">
        <f>VLOOKUP($B33, CodeMinutesTable[[Code]:[Minutes]], 3, FALSE) * VLOOKUP(F$1, ProviderRatesTable[], 3, FALSE)</f>
        <v>1500</v>
      </c>
      <c r="G33" s="6">
        <f>VLOOKUP($B33, CodeMinutesTable[[Code]:[Minutes]], 3, FALSE) * VLOOKUP(G$1, ProviderRatesTable[], 3, FALSE)</f>
        <v>1400</v>
      </c>
      <c r="H33" s="6">
        <f>VLOOKUP($B33, CodeMinutesTable[[Code]:[Minutes]], 3, FALSE) * VLOOKUP(H$1, ProviderRatesTable[], 3, FALSE)</f>
        <v>1300</v>
      </c>
      <c r="I33" s="6">
        <f>VLOOKUP($B33, CodeMinutesTable[[Code]:[Minutes]], 3, FALSE) * VLOOKUP(I$1, ProviderRatesTable[], 3, FALSE)</f>
        <v>1200</v>
      </c>
      <c r="J33" s="6">
        <f>VLOOKUP($B33, CodeMinutesTable[[Code]:[Minutes]], 3, FALSE) * VLOOKUP(J$1, ProviderRatesTable[], 3, FALSE)</f>
        <v>1100</v>
      </c>
      <c r="K33" s="6">
        <f>VLOOKUP($B33, CodeMinutesTable[[Code]:[Minutes]], 3, FALSE) * VLOOKUP(K$1, ProviderRatesTable[], 3, FALSE)</f>
        <v>1000.0000000000001</v>
      </c>
      <c r="L33" s="6">
        <f>VLOOKUP($B33, CodeMinutesTable[[Code]:[Minutes]], 3, FALSE) * VLOOKUP(L$1, ProviderRatesTable[], 3, FALSE)</f>
        <v>900</v>
      </c>
      <c r="M33" s="6">
        <f>VLOOKUP($B33, CodeMinutesTable[[Code]:[Minutes]], 3, FALSE) * VLOOKUP(M$1, ProviderRatesTable[], 3, FALSE)</f>
        <v>800</v>
      </c>
      <c r="N33" s="6">
        <f>VLOOKUP($B33, CodeMinutesTable[[Code]:[Minutes]], 3, FALSE) * VLOOKUP(N$1, ProviderRatesTable[], 3, FALSE)</f>
        <v>700</v>
      </c>
      <c r="O33" s="6">
        <f>VLOOKUP($B33, CodeMinutesTable[[Code]:[Minutes]], 3, FALSE) * VLOOKUP(O$1, ProviderRatesTable[], 3, FALSE)</f>
        <v>600</v>
      </c>
      <c r="P33" s="6">
        <f>VLOOKUP($B33, CodeMinutesTable[[Code]:[Minutes]], 3, FALSE) * VLOOKUP(P$1, ProviderRatesTable[], 3, FALSE)</f>
        <v>400</v>
      </c>
      <c r="Q33" s="6">
        <f>VLOOKUP($B33, CodeMinutesTable[[Code]:[Minutes]], 3, FALSE) * VLOOKUP(Q$1, ProviderRatesTable[], 3, FALSE)</f>
        <v>300</v>
      </c>
    </row>
    <row r="34" spans="1:17" x14ac:dyDescent="0.25">
      <c r="A34" s="3" t="str">
        <f>INDEX(CodeMinutesTable[Frequently Used],MATCH(CodeRatesTable[[#This Row],[Billing Code]],CodeMinutesTable[Code],0))</f>
        <v>Yes</v>
      </c>
      <c r="B34" s="3" t="s">
        <v>103</v>
      </c>
      <c r="C34" t="s">
        <v>104</v>
      </c>
      <c r="D34" s="6">
        <f>VLOOKUP($B34, CodeMinutesTable[[Code]:[Minutes]], 3, FALSE) * VLOOKUP(D$1, ProviderRatesTable[], 3, FALSE)</f>
        <v>1700</v>
      </c>
      <c r="E34" s="6">
        <f>VLOOKUP($B34, CodeMinutesTable[[Code]:[Minutes]], 3, FALSE) * VLOOKUP(E$1, ProviderRatesTable[], 3, FALSE)</f>
        <v>1600</v>
      </c>
      <c r="F34" s="6">
        <f>VLOOKUP($B34, CodeMinutesTable[[Code]:[Minutes]], 3, FALSE) * VLOOKUP(F$1, ProviderRatesTable[], 3, FALSE)</f>
        <v>1500</v>
      </c>
      <c r="G34" s="6">
        <f>VLOOKUP($B34, CodeMinutesTable[[Code]:[Minutes]], 3, FALSE) * VLOOKUP(G$1, ProviderRatesTable[], 3, FALSE)</f>
        <v>1400</v>
      </c>
      <c r="H34" s="6">
        <f>VLOOKUP($B34, CodeMinutesTable[[Code]:[Minutes]], 3, FALSE) * VLOOKUP(H$1, ProviderRatesTable[], 3, FALSE)</f>
        <v>1300</v>
      </c>
      <c r="I34" s="6">
        <f>VLOOKUP($B34, CodeMinutesTable[[Code]:[Minutes]], 3, FALSE) * VLOOKUP(I$1, ProviderRatesTable[], 3, FALSE)</f>
        <v>1200</v>
      </c>
      <c r="J34" s="6">
        <f>VLOOKUP($B34, CodeMinutesTable[[Code]:[Minutes]], 3, FALSE) * VLOOKUP(J$1, ProviderRatesTable[], 3, FALSE)</f>
        <v>1100</v>
      </c>
      <c r="K34" s="6">
        <f>VLOOKUP($B34, CodeMinutesTable[[Code]:[Minutes]], 3, FALSE) * VLOOKUP(K$1, ProviderRatesTable[], 3, FALSE)</f>
        <v>1000.0000000000001</v>
      </c>
      <c r="L34" s="6">
        <f>VLOOKUP($B34, CodeMinutesTable[[Code]:[Minutes]], 3, FALSE) * VLOOKUP(L$1, ProviderRatesTable[], 3, FALSE)</f>
        <v>900</v>
      </c>
      <c r="M34" s="6">
        <f>VLOOKUP($B34, CodeMinutesTable[[Code]:[Minutes]], 3, FALSE) * VLOOKUP(M$1, ProviderRatesTable[], 3, FALSE)</f>
        <v>800</v>
      </c>
      <c r="N34" s="6">
        <f>VLOOKUP($B34, CodeMinutesTable[[Code]:[Minutes]], 3, FALSE) * VLOOKUP(N$1, ProviderRatesTable[], 3, FALSE)</f>
        <v>700</v>
      </c>
      <c r="O34" s="6">
        <f>VLOOKUP($B34, CodeMinutesTable[[Code]:[Minutes]], 3, FALSE) * VLOOKUP(O$1, ProviderRatesTable[], 3, FALSE)</f>
        <v>600</v>
      </c>
      <c r="P34" s="6">
        <f>VLOOKUP($B34, CodeMinutesTable[[Code]:[Minutes]], 3, FALSE) * VLOOKUP(P$1, ProviderRatesTable[], 3, FALSE)</f>
        <v>400</v>
      </c>
      <c r="Q34" s="6">
        <f>VLOOKUP($B34, CodeMinutesTable[[Code]:[Minutes]], 3, FALSE) * VLOOKUP(Q$1, ProviderRatesTable[], 3, FALSE)</f>
        <v>300</v>
      </c>
    </row>
    <row r="35" spans="1:17" hidden="1" x14ac:dyDescent="0.25">
      <c r="A35" s="3" t="str">
        <f>INDEX(CodeMinutesTable[Frequently Used],MATCH(CodeRatesTable[[#This Row],[Billing Code]],CodeMinutesTable[Code],0))</f>
        <v>No</v>
      </c>
      <c r="B35" s="3" t="s">
        <v>105</v>
      </c>
      <c r="C35" t="s">
        <v>106</v>
      </c>
      <c r="D35" s="6">
        <f>VLOOKUP($B35, CodeMinutesTable[[Code]:[Minutes]], 3, FALSE) * VLOOKUP(D$1, ProviderRatesTable[], 3, FALSE)</f>
        <v>1700</v>
      </c>
      <c r="E35" s="6" cm="1">
        <f t="array" ref="E35">_xlfn.XLOOKUP($B35,CodeMinutesTable[[Code]:[Code]],CodeMinutesTable[[Minutes]:[Minutes]]) *_xlfn.XLOOKUP(E$1,'Provider Rates'!$A$2:$A$15,'Provider Rates'!$C$2:$C$15)</f>
        <v>1600</v>
      </c>
      <c r="F35" s="6" cm="1">
        <f t="array" ref="F35">_xlfn.XLOOKUP($B35,CodeMinutesTable[[Code]:[Code]],CodeMinutesTable[[Minutes]:[Minutes]]) *_xlfn.XLOOKUP(F$1,'Provider Rates'!$A$2:$A$15,'Provider Rates'!$C$2:$C$15)</f>
        <v>1500</v>
      </c>
      <c r="G35" s="6" cm="1">
        <f t="array" ref="G35">_xlfn.XLOOKUP($B35,CodeMinutesTable[[Code]:[Code]],CodeMinutesTable[[Minutes]:[Minutes]]) *_xlfn.XLOOKUP(G$1,'Provider Rates'!$A$2:$A$15,'Provider Rates'!$C$2:$C$15)</f>
        <v>1400</v>
      </c>
      <c r="H35" s="6" cm="1">
        <f t="array" ref="H35">_xlfn.XLOOKUP($B35,CodeMinutesTable[[Code]:[Code]],CodeMinutesTable[[Minutes]:[Minutes]]) *_xlfn.XLOOKUP(H$1,'Provider Rates'!$A$2:$A$15,'Provider Rates'!$C$2:$C$15)</f>
        <v>1300</v>
      </c>
      <c r="I35" s="6" cm="1">
        <f t="array" ref="I35">_xlfn.XLOOKUP($B35,CodeMinutesTable[[Code]:[Code]],CodeMinutesTable[[Minutes]:[Minutes]]) *_xlfn.XLOOKUP(I$1,'Provider Rates'!$A$2:$A$15,'Provider Rates'!$C$2:$C$15)</f>
        <v>1200</v>
      </c>
      <c r="J35" s="6" cm="1">
        <f t="array" ref="J35">_xlfn.XLOOKUP($B35,CodeMinutesTable[[Code]:[Code]],CodeMinutesTable[[Minutes]:[Minutes]]) *_xlfn.XLOOKUP(J$1,'Provider Rates'!$A$2:$A$15,'Provider Rates'!$C$2:$C$15)</f>
        <v>1100</v>
      </c>
      <c r="K35" s="6" cm="1">
        <f t="array" ref="K35">_xlfn.XLOOKUP($B35,CodeMinutesTable[[Code]:[Code]],CodeMinutesTable[[Minutes]:[Minutes]]) *_xlfn.XLOOKUP(K$1,'Provider Rates'!$A$2:$A$15,'Provider Rates'!$C$2:$C$15)</f>
        <v>1000.0000000000001</v>
      </c>
      <c r="L35" s="6" cm="1">
        <f t="array" ref="L35">_xlfn.XLOOKUP($B35,CodeMinutesTable[[Code]:[Code]],CodeMinutesTable[[Minutes]:[Minutes]]) *_xlfn.XLOOKUP(L$1,'Provider Rates'!$A$2:$A$15,'Provider Rates'!$C$2:$C$15)</f>
        <v>900</v>
      </c>
      <c r="M35" s="6" cm="1">
        <f t="array" ref="M35">_xlfn.XLOOKUP($B35,CodeMinutesTable[[Code]:[Code]],CodeMinutesTable[[Minutes]:[Minutes]]) *_xlfn.XLOOKUP(M$1,'Provider Rates'!$A$2:$A$15,'Provider Rates'!$C$2:$C$15)</f>
        <v>800</v>
      </c>
      <c r="N35" s="6" cm="1">
        <f t="array" ref="N35">_xlfn.XLOOKUP($B35,CodeMinutesTable[[Code]:[Code]],CodeMinutesTable[[Minutes]:[Minutes]]) *_xlfn.XLOOKUP(N$1,'Provider Rates'!$A$2:$A$15,'Provider Rates'!$C$2:$C$15)</f>
        <v>700</v>
      </c>
      <c r="O35" s="6" cm="1">
        <f t="array" ref="O35">_xlfn.XLOOKUP($B35,CodeMinutesTable[[Code]:[Code]],CodeMinutesTable[[Minutes]:[Minutes]]) *_xlfn.XLOOKUP(O$1,'Provider Rates'!$A$2:$A$15,'Provider Rates'!$C$2:$C$15)</f>
        <v>600</v>
      </c>
      <c r="P35" s="6" cm="1">
        <f t="array" ref="P35">_xlfn.XLOOKUP($B35,CodeMinutesTable[[Code]:[Code]],CodeMinutesTable[[Minutes]:[Minutes]]) *_xlfn.XLOOKUP(P$1,'Provider Rates'!$A$2:$A$15,'Provider Rates'!$C$2:$C$15)</f>
        <v>400</v>
      </c>
      <c r="Q35" s="6">
        <f>VLOOKUP($B35, CodeMinutesTable[[Code]:[Minutes]], 3, FALSE) * VLOOKUP(Q$1, ProviderRatesTable[], 3, FALSE)</f>
        <v>300</v>
      </c>
    </row>
    <row r="36" spans="1:17" hidden="1" x14ac:dyDescent="0.25">
      <c r="A36" s="3" t="str">
        <f>INDEX(CodeMinutesTable[Frequently Used],MATCH(CodeRatesTable[[#This Row],[Billing Code]],CodeMinutesTable[Code],0))</f>
        <v>No</v>
      </c>
      <c r="B36" s="3" t="s">
        <v>107</v>
      </c>
      <c r="C36" t="s">
        <v>108</v>
      </c>
      <c r="D36" s="6">
        <f>VLOOKUP($B36, CodeMinutesTable[[Code]:[Minutes]], 3, FALSE) * VLOOKUP(D$1, ProviderRatesTable[], 3, FALSE)</f>
        <v>1700</v>
      </c>
      <c r="E36" s="6" cm="1">
        <f t="array" ref="E36">_xlfn.XLOOKUP($B36,CodeMinutesTable[[Code]:[Code]],CodeMinutesTable[[Minutes]:[Minutes]]) *_xlfn.XLOOKUP(E$1,'Provider Rates'!$A$2:$A$15,'Provider Rates'!$C$2:$C$15)</f>
        <v>1600</v>
      </c>
      <c r="F36" s="6" cm="1">
        <f t="array" ref="F36">_xlfn.XLOOKUP($B36,CodeMinutesTable[[Code]:[Code]],CodeMinutesTable[[Minutes]:[Minutes]]) *_xlfn.XLOOKUP(F$1,'Provider Rates'!$A$2:$A$15,'Provider Rates'!$C$2:$C$15)</f>
        <v>1500</v>
      </c>
      <c r="G36" s="6" cm="1">
        <f t="array" ref="G36">_xlfn.XLOOKUP($B36,CodeMinutesTable[[Code]:[Code]],CodeMinutesTable[[Minutes]:[Minutes]]) *_xlfn.XLOOKUP(G$1,'Provider Rates'!$A$2:$A$15,'Provider Rates'!$C$2:$C$15)</f>
        <v>1400</v>
      </c>
      <c r="H36" s="6" cm="1">
        <f t="array" ref="H36">_xlfn.XLOOKUP($B36,CodeMinutesTable[[Code]:[Code]],CodeMinutesTable[[Minutes]:[Minutes]]) *_xlfn.XLOOKUP(H$1,'Provider Rates'!$A$2:$A$15,'Provider Rates'!$C$2:$C$15)</f>
        <v>1300</v>
      </c>
      <c r="I36" s="6" cm="1">
        <f t="array" ref="I36">_xlfn.XLOOKUP($B36,CodeMinutesTable[[Code]:[Code]],CodeMinutesTable[[Minutes]:[Minutes]]) *_xlfn.XLOOKUP(I$1,'Provider Rates'!$A$2:$A$15,'Provider Rates'!$C$2:$C$15)</f>
        <v>1200</v>
      </c>
      <c r="J36" s="6" cm="1">
        <f t="array" ref="J36">_xlfn.XLOOKUP($B36,CodeMinutesTable[[Code]:[Code]],CodeMinutesTable[[Minutes]:[Minutes]]) *_xlfn.XLOOKUP(J$1,'Provider Rates'!$A$2:$A$15,'Provider Rates'!$C$2:$C$15)</f>
        <v>1100</v>
      </c>
      <c r="K36" s="6" cm="1">
        <f t="array" ref="K36">_xlfn.XLOOKUP($B36,CodeMinutesTable[[Code]:[Code]],CodeMinutesTable[[Minutes]:[Minutes]]) *_xlfn.XLOOKUP(K$1,'Provider Rates'!$A$2:$A$15,'Provider Rates'!$C$2:$C$15)</f>
        <v>1000.0000000000001</v>
      </c>
      <c r="L36" s="6" cm="1">
        <f t="array" ref="L36">_xlfn.XLOOKUP($B36,CodeMinutesTable[[Code]:[Code]],CodeMinutesTable[[Minutes]:[Minutes]]) *_xlfn.XLOOKUP(L$1,'Provider Rates'!$A$2:$A$15,'Provider Rates'!$C$2:$C$15)</f>
        <v>900</v>
      </c>
      <c r="M36" s="6" cm="1">
        <f t="array" ref="M36">_xlfn.XLOOKUP($B36,CodeMinutesTable[[Code]:[Code]],CodeMinutesTable[[Minutes]:[Minutes]]) *_xlfn.XLOOKUP(M$1,'Provider Rates'!$A$2:$A$15,'Provider Rates'!$C$2:$C$15)</f>
        <v>800</v>
      </c>
      <c r="N36" s="6" cm="1">
        <f t="array" ref="N36">_xlfn.XLOOKUP($B36,CodeMinutesTable[[Code]:[Code]],CodeMinutesTable[[Minutes]:[Minutes]]) *_xlfn.XLOOKUP(N$1,'Provider Rates'!$A$2:$A$15,'Provider Rates'!$C$2:$C$15)</f>
        <v>700</v>
      </c>
      <c r="O36" s="6" cm="1">
        <f t="array" ref="O36">_xlfn.XLOOKUP($B36,CodeMinutesTable[[Code]:[Code]],CodeMinutesTable[[Minutes]:[Minutes]]) *_xlfn.XLOOKUP(O$1,'Provider Rates'!$A$2:$A$15,'Provider Rates'!$C$2:$C$15)</f>
        <v>600</v>
      </c>
      <c r="P36" s="6" cm="1">
        <f t="array" ref="P36">_xlfn.XLOOKUP($B36,CodeMinutesTable[[Code]:[Code]],CodeMinutesTable[[Minutes]:[Minutes]]) *_xlfn.XLOOKUP(P$1,'Provider Rates'!$A$2:$A$15,'Provider Rates'!$C$2:$C$15)</f>
        <v>400</v>
      </c>
      <c r="Q36" s="6">
        <f>VLOOKUP($B36, CodeMinutesTable[[Code]:[Minutes]], 3, FALSE) * VLOOKUP(Q$1, ProviderRatesTable[], 3, FALSE)</f>
        <v>300</v>
      </c>
    </row>
    <row r="37" spans="1:17" hidden="1" x14ac:dyDescent="0.25">
      <c r="A37" s="3" t="str">
        <f>INDEX(CodeMinutesTable[Frequently Used],MATCH(CodeRatesTable[[#This Row],[Billing Code]],CodeMinutesTable[Code],0))</f>
        <v>No</v>
      </c>
      <c r="B37" s="3" t="s">
        <v>109</v>
      </c>
      <c r="C37" t="s">
        <v>110</v>
      </c>
      <c r="D37" s="6">
        <f>VLOOKUP($B37, CodeMinutesTable[[Code]:[Minutes]], 3, FALSE) * VLOOKUP(D$1, ProviderRatesTable[], 3, FALSE)</f>
        <v>850</v>
      </c>
      <c r="E37" s="6" cm="1">
        <f t="array" ref="E37">_xlfn.XLOOKUP($B37,CodeMinutesTable[[Code]:[Code]],CodeMinutesTable[[Minutes]:[Minutes]]) *_xlfn.XLOOKUP(E$1,'Provider Rates'!$A$2:$A$15,'Provider Rates'!$C$2:$C$15)</f>
        <v>800</v>
      </c>
      <c r="F37" s="6" cm="1">
        <f t="array" ref="F37">_xlfn.XLOOKUP($B37,CodeMinutesTable[[Code]:[Code]],CodeMinutesTable[[Minutes]:[Minutes]]) *_xlfn.XLOOKUP(F$1,'Provider Rates'!$A$2:$A$15,'Provider Rates'!$C$2:$C$15)</f>
        <v>750</v>
      </c>
      <c r="G37" s="6" cm="1">
        <f t="array" ref="G37">_xlfn.XLOOKUP($B37,CodeMinutesTable[[Code]:[Code]],CodeMinutesTable[[Minutes]:[Minutes]]) *_xlfn.XLOOKUP(G$1,'Provider Rates'!$A$2:$A$15,'Provider Rates'!$C$2:$C$15)</f>
        <v>700</v>
      </c>
      <c r="H37" s="6" cm="1">
        <f t="array" ref="H37">_xlfn.XLOOKUP($B37,CodeMinutesTable[[Code]:[Code]],CodeMinutesTable[[Minutes]:[Minutes]]) *_xlfn.XLOOKUP(H$1,'Provider Rates'!$A$2:$A$15,'Provider Rates'!$C$2:$C$15)</f>
        <v>650</v>
      </c>
      <c r="I37" s="6" cm="1">
        <f t="array" ref="I37">_xlfn.XLOOKUP($B37,CodeMinutesTable[[Code]:[Code]],CodeMinutesTable[[Minutes]:[Minutes]]) *_xlfn.XLOOKUP(I$1,'Provider Rates'!$A$2:$A$15,'Provider Rates'!$C$2:$C$15)</f>
        <v>600</v>
      </c>
      <c r="J37" s="6" cm="1">
        <f t="array" ref="J37">_xlfn.XLOOKUP($B37,CodeMinutesTable[[Code]:[Code]],CodeMinutesTable[[Minutes]:[Minutes]]) *_xlfn.XLOOKUP(J$1,'Provider Rates'!$A$2:$A$15,'Provider Rates'!$C$2:$C$15)</f>
        <v>550</v>
      </c>
      <c r="K37" s="6" cm="1">
        <f t="array" ref="K37">_xlfn.XLOOKUP($B37,CodeMinutesTable[[Code]:[Code]],CodeMinutesTable[[Minutes]:[Minutes]]) *_xlfn.XLOOKUP(K$1,'Provider Rates'!$A$2:$A$15,'Provider Rates'!$C$2:$C$15)</f>
        <v>500.00000000000006</v>
      </c>
      <c r="L37" s="6" cm="1">
        <f t="array" ref="L37">_xlfn.XLOOKUP($B37,CodeMinutesTable[[Code]:[Code]],CodeMinutesTable[[Minutes]:[Minutes]]) *_xlfn.XLOOKUP(L$1,'Provider Rates'!$A$2:$A$15,'Provider Rates'!$C$2:$C$15)</f>
        <v>450</v>
      </c>
      <c r="M37" s="6" cm="1">
        <f t="array" ref="M37">_xlfn.XLOOKUP($B37,CodeMinutesTable[[Code]:[Code]],CodeMinutesTable[[Minutes]:[Minutes]]) *_xlfn.XLOOKUP(M$1,'Provider Rates'!$A$2:$A$15,'Provider Rates'!$C$2:$C$15)</f>
        <v>400</v>
      </c>
      <c r="N37" s="6" cm="1">
        <f t="array" ref="N37">_xlfn.XLOOKUP($B37,CodeMinutesTable[[Code]:[Code]],CodeMinutesTable[[Minutes]:[Minutes]]) *_xlfn.XLOOKUP(N$1,'Provider Rates'!$A$2:$A$15,'Provider Rates'!$C$2:$C$15)</f>
        <v>350</v>
      </c>
      <c r="O37" s="6" cm="1">
        <f t="array" ref="O37">_xlfn.XLOOKUP($B37,CodeMinutesTable[[Code]:[Code]],CodeMinutesTable[[Minutes]:[Minutes]]) *_xlfn.XLOOKUP(O$1,'Provider Rates'!$A$2:$A$15,'Provider Rates'!$C$2:$C$15)</f>
        <v>300</v>
      </c>
      <c r="P37" s="6" cm="1">
        <f t="array" ref="P37">_xlfn.XLOOKUP($B37,CodeMinutesTable[[Code]:[Code]],CodeMinutesTable[[Minutes]:[Minutes]]) *_xlfn.XLOOKUP(P$1,'Provider Rates'!$A$2:$A$15,'Provider Rates'!$C$2:$C$15)</f>
        <v>200</v>
      </c>
      <c r="Q37" s="6">
        <f>VLOOKUP($B37, CodeMinutesTable[[Code]:[Minutes]], 3, FALSE) * VLOOKUP(Q$1, ProviderRatesTable[], 3, FALSE)</f>
        <v>150</v>
      </c>
    </row>
    <row r="38" spans="1:17" hidden="1" x14ac:dyDescent="0.25">
      <c r="A38" s="3" t="str">
        <f>INDEX(CodeMinutesTable[Frequently Used],MATCH(CodeRatesTable[[#This Row],[Billing Code]],CodeMinutesTable[Code],0))</f>
        <v>No</v>
      </c>
      <c r="B38" s="3" t="s">
        <v>111</v>
      </c>
      <c r="C38" t="s">
        <v>112</v>
      </c>
      <c r="D38" s="6">
        <f>VLOOKUP($B38, CodeMinutesTable[[Code]:[Minutes]], 3, FALSE) * VLOOKUP(D$1, ProviderRatesTable[], 3, FALSE)</f>
        <v>850</v>
      </c>
      <c r="E38" s="6" cm="1">
        <f t="array" ref="E38">_xlfn.XLOOKUP($B38,CodeMinutesTable[[Code]:[Code]],CodeMinutesTable[[Minutes]:[Minutes]]) *_xlfn.XLOOKUP(E$1,'Provider Rates'!$A$2:$A$15,'Provider Rates'!$C$2:$C$15)</f>
        <v>800</v>
      </c>
      <c r="F38" s="6" cm="1">
        <f t="array" ref="F38">_xlfn.XLOOKUP($B38,CodeMinutesTable[[Code]:[Code]],CodeMinutesTable[[Minutes]:[Minutes]]) *_xlfn.XLOOKUP(F$1,'Provider Rates'!$A$2:$A$15,'Provider Rates'!$C$2:$C$15)</f>
        <v>750</v>
      </c>
      <c r="G38" s="6" cm="1">
        <f t="array" ref="G38">_xlfn.XLOOKUP($B38,CodeMinutesTable[[Code]:[Code]],CodeMinutesTable[[Minutes]:[Minutes]]) *_xlfn.XLOOKUP(G$1,'Provider Rates'!$A$2:$A$15,'Provider Rates'!$C$2:$C$15)</f>
        <v>700</v>
      </c>
      <c r="H38" s="6" cm="1">
        <f t="array" ref="H38">_xlfn.XLOOKUP($B38,CodeMinutesTable[[Code]:[Code]],CodeMinutesTable[[Minutes]:[Minutes]]) *_xlfn.XLOOKUP(H$1,'Provider Rates'!$A$2:$A$15,'Provider Rates'!$C$2:$C$15)</f>
        <v>650</v>
      </c>
      <c r="I38" s="6" cm="1">
        <f t="array" ref="I38">_xlfn.XLOOKUP($B38,CodeMinutesTable[[Code]:[Code]],CodeMinutesTable[[Minutes]:[Minutes]]) *_xlfn.XLOOKUP(I$1,'Provider Rates'!$A$2:$A$15,'Provider Rates'!$C$2:$C$15)</f>
        <v>600</v>
      </c>
      <c r="J38" s="6" cm="1">
        <f t="array" ref="J38">_xlfn.XLOOKUP($B38,CodeMinutesTable[[Code]:[Code]],CodeMinutesTable[[Minutes]:[Minutes]]) *_xlfn.XLOOKUP(J$1,'Provider Rates'!$A$2:$A$15,'Provider Rates'!$C$2:$C$15)</f>
        <v>550</v>
      </c>
      <c r="K38" s="6" cm="1">
        <f t="array" ref="K38">_xlfn.XLOOKUP($B38,CodeMinutesTable[[Code]:[Code]],CodeMinutesTable[[Minutes]:[Minutes]]) *_xlfn.XLOOKUP(K$1,'Provider Rates'!$A$2:$A$15,'Provider Rates'!$C$2:$C$15)</f>
        <v>500.00000000000006</v>
      </c>
      <c r="L38" s="6" cm="1">
        <f t="array" ref="L38">_xlfn.XLOOKUP($B38,CodeMinutesTable[[Code]:[Code]],CodeMinutesTable[[Minutes]:[Minutes]]) *_xlfn.XLOOKUP(L$1,'Provider Rates'!$A$2:$A$15,'Provider Rates'!$C$2:$C$15)</f>
        <v>450</v>
      </c>
      <c r="M38" s="6" cm="1">
        <f t="array" ref="M38">_xlfn.XLOOKUP($B38,CodeMinutesTable[[Code]:[Code]],CodeMinutesTable[[Minutes]:[Minutes]]) *_xlfn.XLOOKUP(M$1,'Provider Rates'!$A$2:$A$15,'Provider Rates'!$C$2:$C$15)</f>
        <v>400</v>
      </c>
      <c r="N38" s="6" cm="1">
        <f t="array" ref="N38">_xlfn.XLOOKUP($B38,CodeMinutesTable[[Code]:[Code]],CodeMinutesTable[[Minutes]:[Minutes]]) *_xlfn.XLOOKUP(N$1,'Provider Rates'!$A$2:$A$15,'Provider Rates'!$C$2:$C$15)</f>
        <v>350</v>
      </c>
      <c r="O38" s="6" cm="1">
        <f t="array" ref="O38">_xlfn.XLOOKUP($B38,CodeMinutesTable[[Code]:[Code]],CodeMinutesTable[[Minutes]:[Minutes]]) *_xlfn.XLOOKUP(O$1,'Provider Rates'!$A$2:$A$15,'Provider Rates'!$C$2:$C$15)</f>
        <v>300</v>
      </c>
      <c r="P38" s="6" cm="1">
        <f t="array" ref="P38">_xlfn.XLOOKUP($B38,CodeMinutesTable[[Code]:[Code]],CodeMinutesTable[[Minutes]:[Minutes]]) *_xlfn.XLOOKUP(P$1,'Provider Rates'!$A$2:$A$15,'Provider Rates'!$C$2:$C$15)</f>
        <v>200</v>
      </c>
      <c r="Q38" s="6">
        <f>VLOOKUP($B38, CodeMinutesTable[[Code]:[Minutes]], 3, FALSE) * VLOOKUP(Q$1, ProviderRatesTable[], 3, FALSE)</f>
        <v>150</v>
      </c>
    </row>
    <row r="39" spans="1:17" hidden="1" x14ac:dyDescent="0.25">
      <c r="A39" s="3" t="str">
        <f>INDEX(CodeMinutesTable[Frequently Used],MATCH(CodeRatesTable[[#This Row],[Billing Code]],CodeMinutesTable[Code],0))</f>
        <v>No</v>
      </c>
      <c r="B39" s="3" t="s">
        <v>113</v>
      </c>
      <c r="C39" t="s">
        <v>114</v>
      </c>
      <c r="D39" s="6">
        <f>VLOOKUP($B39, CodeMinutesTable[[Code]:[Minutes]], 3, FALSE) * VLOOKUP(D$1, ProviderRatesTable[], 3, FALSE)</f>
        <v>850</v>
      </c>
      <c r="E39" s="6" cm="1">
        <f t="array" ref="E39">_xlfn.XLOOKUP($B39,CodeMinutesTable[[Code]:[Code]],CodeMinutesTable[[Minutes]:[Minutes]]) *_xlfn.XLOOKUP(E$1,'Provider Rates'!$A$2:$A$15,'Provider Rates'!$C$2:$C$15)</f>
        <v>800</v>
      </c>
      <c r="F39" s="6" cm="1">
        <f t="array" ref="F39">_xlfn.XLOOKUP($B39,CodeMinutesTable[[Code]:[Code]],CodeMinutesTable[[Minutes]:[Minutes]]) *_xlfn.XLOOKUP(F$1,'Provider Rates'!$A$2:$A$15,'Provider Rates'!$C$2:$C$15)</f>
        <v>750</v>
      </c>
      <c r="G39" s="6" cm="1">
        <f t="array" ref="G39">_xlfn.XLOOKUP($B39,CodeMinutesTable[[Code]:[Code]],CodeMinutesTable[[Minutes]:[Minutes]]) *_xlfn.XLOOKUP(G$1,'Provider Rates'!$A$2:$A$15,'Provider Rates'!$C$2:$C$15)</f>
        <v>700</v>
      </c>
      <c r="H39" s="6" cm="1">
        <f t="array" ref="H39">_xlfn.XLOOKUP($B39,CodeMinutesTable[[Code]:[Code]],CodeMinutesTable[[Minutes]:[Minutes]]) *_xlfn.XLOOKUP(H$1,'Provider Rates'!$A$2:$A$15,'Provider Rates'!$C$2:$C$15)</f>
        <v>650</v>
      </c>
      <c r="I39" s="6" cm="1">
        <f t="array" ref="I39">_xlfn.XLOOKUP($B39,CodeMinutesTable[[Code]:[Code]],CodeMinutesTable[[Minutes]:[Minutes]]) *_xlfn.XLOOKUP(I$1,'Provider Rates'!$A$2:$A$15,'Provider Rates'!$C$2:$C$15)</f>
        <v>600</v>
      </c>
      <c r="J39" s="6" cm="1">
        <f t="array" ref="J39">_xlfn.XLOOKUP($B39,CodeMinutesTable[[Code]:[Code]],CodeMinutesTable[[Minutes]:[Minutes]]) *_xlfn.XLOOKUP(J$1,'Provider Rates'!$A$2:$A$15,'Provider Rates'!$C$2:$C$15)</f>
        <v>550</v>
      </c>
      <c r="K39" s="6" cm="1">
        <f t="array" ref="K39">_xlfn.XLOOKUP($B39,CodeMinutesTable[[Code]:[Code]],CodeMinutesTable[[Minutes]:[Minutes]]) *_xlfn.XLOOKUP(K$1,'Provider Rates'!$A$2:$A$15,'Provider Rates'!$C$2:$C$15)</f>
        <v>500.00000000000006</v>
      </c>
      <c r="L39" s="6" cm="1">
        <f t="array" ref="L39">_xlfn.XLOOKUP($B39,CodeMinutesTable[[Code]:[Code]],CodeMinutesTable[[Minutes]:[Minutes]]) *_xlfn.XLOOKUP(L$1,'Provider Rates'!$A$2:$A$15,'Provider Rates'!$C$2:$C$15)</f>
        <v>450</v>
      </c>
      <c r="M39" s="6" cm="1">
        <f t="array" ref="M39">_xlfn.XLOOKUP($B39,CodeMinutesTable[[Code]:[Code]],CodeMinutesTable[[Minutes]:[Minutes]]) *_xlfn.XLOOKUP(M$1,'Provider Rates'!$A$2:$A$15,'Provider Rates'!$C$2:$C$15)</f>
        <v>400</v>
      </c>
      <c r="N39" s="6" cm="1">
        <f t="array" ref="N39">_xlfn.XLOOKUP($B39,CodeMinutesTable[[Code]:[Code]],CodeMinutesTable[[Minutes]:[Minutes]]) *_xlfn.XLOOKUP(N$1,'Provider Rates'!$A$2:$A$15,'Provider Rates'!$C$2:$C$15)</f>
        <v>350</v>
      </c>
      <c r="O39" s="6" cm="1">
        <f t="array" ref="O39">_xlfn.XLOOKUP($B39,CodeMinutesTable[[Code]:[Code]],CodeMinutesTable[[Minutes]:[Minutes]]) *_xlfn.XLOOKUP(O$1,'Provider Rates'!$A$2:$A$15,'Provider Rates'!$C$2:$C$15)</f>
        <v>300</v>
      </c>
      <c r="P39" s="6" cm="1">
        <f t="array" ref="P39">_xlfn.XLOOKUP($B39,CodeMinutesTable[[Code]:[Code]],CodeMinutesTable[[Minutes]:[Minutes]]) *_xlfn.XLOOKUP(P$1,'Provider Rates'!$A$2:$A$15,'Provider Rates'!$C$2:$C$15)</f>
        <v>200</v>
      </c>
      <c r="Q39" s="6">
        <f>VLOOKUP($B39, CodeMinutesTable[[Code]:[Minutes]], 3, FALSE) * VLOOKUP(Q$1, ProviderRatesTable[], 3, FALSE)</f>
        <v>150</v>
      </c>
    </row>
    <row r="40" spans="1:17" hidden="1" x14ac:dyDescent="0.25">
      <c r="A40" s="3" t="str">
        <f>INDEX(CodeMinutesTable[Frequently Used],MATCH(CodeRatesTable[[#This Row],[Billing Code]],CodeMinutesTable[Code],0))</f>
        <v>No</v>
      </c>
      <c r="B40" s="3" t="s">
        <v>115</v>
      </c>
      <c r="C40" t="s">
        <v>112</v>
      </c>
      <c r="D40" s="6">
        <f>VLOOKUP($B40, CodeMinutesTable[[Code]:[Minutes]], 3, FALSE) * VLOOKUP(D$1, ProviderRatesTable[], 3, FALSE)</f>
        <v>850</v>
      </c>
      <c r="E40" s="6" cm="1">
        <f t="array" ref="E40">_xlfn.XLOOKUP($B40,CodeMinutesTable[[Code]:[Code]],CodeMinutesTable[[Minutes]:[Minutes]]) *_xlfn.XLOOKUP(E$1,'Provider Rates'!$A$2:$A$15,'Provider Rates'!$C$2:$C$15)</f>
        <v>800</v>
      </c>
      <c r="F40" s="6" cm="1">
        <f t="array" ref="F40">_xlfn.XLOOKUP($B40,CodeMinutesTable[[Code]:[Code]],CodeMinutesTable[[Minutes]:[Minutes]]) *_xlfn.XLOOKUP(F$1,'Provider Rates'!$A$2:$A$15,'Provider Rates'!$C$2:$C$15)</f>
        <v>750</v>
      </c>
      <c r="G40" s="6" cm="1">
        <f t="array" ref="G40">_xlfn.XLOOKUP($B40,CodeMinutesTable[[Code]:[Code]],CodeMinutesTable[[Minutes]:[Minutes]]) *_xlfn.XLOOKUP(G$1,'Provider Rates'!$A$2:$A$15,'Provider Rates'!$C$2:$C$15)</f>
        <v>700</v>
      </c>
      <c r="H40" s="6" cm="1">
        <f t="array" ref="H40">_xlfn.XLOOKUP($B40,CodeMinutesTable[[Code]:[Code]],CodeMinutesTable[[Minutes]:[Minutes]]) *_xlfn.XLOOKUP(H$1,'Provider Rates'!$A$2:$A$15,'Provider Rates'!$C$2:$C$15)</f>
        <v>650</v>
      </c>
      <c r="I40" s="6" cm="1">
        <f t="array" ref="I40">_xlfn.XLOOKUP($B40,CodeMinutesTable[[Code]:[Code]],CodeMinutesTable[[Minutes]:[Minutes]]) *_xlfn.XLOOKUP(I$1,'Provider Rates'!$A$2:$A$15,'Provider Rates'!$C$2:$C$15)</f>
        <v>600</v>
      </c>
      <c r="J40" s="6" cm="1">
        <f t="array" ref="J40">_xlfn.XLOOKUP($B40,CodeMinutesTable[[Code]:[Code]],CodeMinutesTable[[Minutes]:[Minutes]]) *_xlfn.XLOOKUP(J$1,'Provider Rates'!$A$2:$A$15,'Provider Rates'!$C$2:$C$15)</f>
        <v>550</v>
      </c>
      <c r="K40" s="6" cm="1">
        <f t="array" ref="K40">_xlfn.XLOOKUP($B40,CodeMinutesTable[[Code]:[Code]],CodeMinutesTable[[Minutes]:[Minutes]]) *_xlfn.XLOOKUP(K$1,'Provider Rates'!$A$2:$A$15,'Provider Rates'!$C$2:$C$15)</f>
        <v>500.00000000000006</v>
      </c>
      <c r="L40" s="6" cm="1">
        <f t="array" ref="L40">_xlfn.XLOOKUP($B40,CodeMinutesTable[[Code]:[Code]],CodeMinutesTable[[Minutes]:[Minutes]]) *_xlfn.XLOOKUP(L$1,'Provider Rates'!$A$2:$A$15,'Provider Rates'!$C$2:$C$15)</f>
        <v>450</v>
      </c>
      <c r="M40" s="6" cm="1">
        <f t="array" ref="M40">_xlfn.XLOOKUP($B40,CodeMinutesTable[[Code]:[Code]],CodeMinutesTable[[Minutes]:[Minutes]]) *_xlfn.XLOOKUP(M$1,'Provider Rates'!$A$2:$A$15,'Provider Rates'!$C$2:$C$15)</f>
        <v>400</v>
      </c>
      <c r="N40" s="6" cm="1">
        <f t="array" ref="N40">_xlfn.XLOOKUP($B40,CodeMinutesTable[[Code]:[Code]],CodeMinutesTable[[Minutes]:[Minutes]]) *_xlfn.XLOOKUP(N$1,'Provider Rates'!$A$2:$A$15,'Provider Rates'!$C$2:$C$15)</f>
        <v>350</v>
      </c>
      <c r="O40" s="6" cm="1">
        <f t="array" ref="O40">_xlfn.XLOOKUP($B40,CodeMinutesTable[[Code]:[Code]],CodeMinutesTable[[Minutes]:[Minutes]]) *_xlfn.XLOOKUP(O$1,'Provider Rates'!$A$2:$A$15,'Provider Rates'!$C$2:$C$15)</f>
        <v>300</v>
      </c>
      <c r="P40" s="6" cm="1">
        <f t="array" ref="P40">_xlfn.XLOOKUP($B40,CodeMinutesTable[[Code]:[Code]],CodeMinutesTable[[Minutes]:[Minutes]]) *_xlfn.XLOOKUP(P$1,'Provider Rates'!$A$2:$A$15,'Provider Rates'!$C$2:$C$15)</f>
        <v>200</v>
      </c>
      <c r="Q40" s="6">
        <f>VLOOKUP($B40, CodeMinutesTable[[Code]:[Minutes]], 3, FALSE) * VLOOKUP(Q$1, ProviderRatesTable[], 3, FALSE)</f>
        <v>150</v>
      </c>
    </row>
    <row r="41" spans="1:17" hidden="1" x14ac:dyDescent="0.25">
      <c r="A41" s="3" t="str">
        <f>INDEX(CodeMinutesTable[Frequently Used],MATCH(CodeRatesTable[[#This Row],[Billing Code]],CodeMinutesTable[Code],0))</f>
        <v>No</v>
      </c>
      <c r="B41" s="3" t="s">
        <v>116</v>
      </c>
      <c r="C41" t="s">
        <v>117</v>
      </c>
      <c r="D41" s="6">
        <f>VLOOKUP($B41, CodeMinutesTable[[Code]:[Minutes]], 3, FALSE) * VLOOKUP(D$1, ProviderRatesTable[], 3, FALSE)</f>
        <v>425</v>
      </c>
      <c r="E41" s="6" cm="1">
        <f t="array" ref="E41">_xlfn.XLOOKUP($B41,CodeMinutesTable[[Code]:[Code]],CodeMinutesTable[[Minutes]:[Minutes]]) *_xlfn.XLOOKUP(E$1,'Provider Rates'!$A$2:$A$15,'Provider Rates'!$C$2:$C$15)</f>
        <v>400</v>
      </c>
      <c r="F41" s="6" cm="1">
        <f t="array" ref="F41">_xlfn.XLOOKUP($B41,CodeMinutesTable[[Code]:[Code]],CodeMinutesTable[[Minutes]:[Minutes]]) *_xlfn.XLOOKUP(F$1,'Provider Rates'!$A$2:$A$15,'Provider Rates'!$C$2:$C$15)</f>
        <v>375</v>
      </c>
      <c r="G41" s="6" cm="1">
        <f t="array" ref="G41">_xlfn.XLOOKUP($B41,CodeMinutesTable[[Code]:[Code]],CodeMinutesTable[[Minutes]:[Minutes]]) *_xlfn.XLOOKUP(G$1,'Provider Rates'!$A$2:$A$15,'Provider Rates'!$C$2:$C$15)</f>
        <v>350</v>
      </c>
      <c r="H41" s="6" cm="1">
        <f t="array" ref="H41">_xlfn.XLOOKUP($B41,CodeMinutesTable[[Code]:[Code]],CodeMinutesTable[[Minutes]:[Minutes]]) *_xlfn.XLOOKUP(H$1,'Provider Rates'!$A$2:$A$15,'Provider Rates'!$C$2:$C$15)</f>
        <v>325</v>
      </c>
      <c r="I41" s="6" cm="1">
        <f t="array" ref="I41">_xlfn.XLOOKUP($B41,CodeMinutesTable[[Code]:[Code]],CodeMinutesTable[[Minutes]:[Minutes]]) *_xlfn.XLOOKUP(I$1,'Provider Rates'!$A$2:$A$15,'Provider Rates'!$C$2:$C$15)</f>
        <v>300</v>
      </c>
      <c r="J41" s="6" cm="1">
        <f t="array" ref="J41">_xlfn.XLOOKUP($B41,CodeMinutesTable[[Code]:[Code]],CodeMinutesTable[[Minutes]:[Minutes]]) *_xlfn.XLOOKUP(J$1,'Provider Rates'!$A$2:$A$15,'Provider Rates'!$C$2:$C$15)</f>
        <v>275</v>
      </c>
      <c r="K41" s="6" cm="1">
        <f t="array" ref="K41">_xlfn.XLOOKUP($B41,CodeMinutesTable[[Code]:[Code]],CodeMinutesTable[[Minutes]:[Minutes]]) *_xlfn.XLOOKUP(K$1,'Provider Rates'!$A$2:$A$15,'Provider Rates'!$C$2:$C$15)</f>
        <v>250.00000000000003</v>
      </c>
      <c r="L41" s="6" cm="1">
        <f t="array" ref="L41">_xlfn.XLOOKUP($B41,CodeMinutesTable[[Code]:[Code]],CodeMinutesTable[[Minutes]:[Minutes]]) *_xlfn.XLOOKUP(L$1,'Provider Rates'!$A$2:$A$15,'Provider Rates'!$C$2:$C$15)</f>
        <v>225</v>
      </c>
      <c r="M41" s="6" cm="1">
        <f t="array" ref="M41">_xlfn.XLOOKUP($B41,CodeMinutesTable[[Code]:[Code]],CodeMinutesTable[[Minutes]:[Minutes]]) *_xlfn.XLOOKUP(M$1,'Provider Rates'!$A$2:$A$15,'Provider Rates'!$C$2:$C$15)</f>
        <v>200</v>
      </c>
      <c r="N41" s="6" cm="1">
        <f t="array" ref="N41">_xlfn.XLOOKUP($B41,CodeMinutesTable[[Code]:[Code]],CodeMinutesTable[[Minutes]:[Minutes]]) *_xlfn.XLOOKUP(N$1,'Provider Rates'!$A$2:$A$15,'Provider Rates'!$C$2:$C$15)</f>
        <v>175</v>
      </c>
      <c r="O41" s="6" cm="1">
        <f t="array" ref="O41">_xlfn.XLOOKUP($B41,CodeMinutesTable[[Code]:[Code]],CodeMinutesTable[[Minutes]:[Minutes]]) *_xlfn.XLOOKUP(O$1,'Provider Rates'!$A$2:$A$15,'Provider Rates'!$C$2:$C$15)</f>
        <v>150</v>
      </c>
      <c r="P41" s="6" cm="1">
        <f t="array" ref="P41">_xlfn.XLOOKUP($B41,CodeMinutesTable[[Code]:[Code]],CodeMinutesTable[[Minutes]:[Minutes]]) *_xlfn.XLOOKUP(P$1,'Provider Rates'!$A$2:$A$15,'Provider Rates'!$C$2:$C$15)</f>
        <v>100</v>
      </c>
      <c r="Q41" s="6">
        <f>VLOOKUP($B41, CodeMinutesTable[[Code]:[Minutes]], 3, FALSE) * VLOOKUP(Q$1, ProviderRatesTable[], 3, FALSE)</f>
        <v>75</v>
      </c>
    </row>
    <row r="42" spans="1:17" hidden="1" x14ac:dyDescent="0.25">
      <c r="A42" s="3" t="str">
        <f>INDEX(CodeMinutesTable[Frequently Used],MATCH(CodeRatesTable[[#This Row],[Billing Code]],CodeMinutesTable[Code],0))</f>
        <v>No</v>
      </c>
      <c r="B42" s="3" t="s">
        <v>118</v>
      </c>
      <c r="C42" t="s">
        <v>119</v>
      </c>
      <c r="D42" s="6">
        <f>VLOOKUP($B42, CodeMinutesTable[[Code]:[Minutes]], 3, FALSE) * VLOOKUP(D$1, ProviderRatesTable[], 3, FALSE)</f>
        <v>425</v>
      </c>
      <c r="E42" s="6" cm="1">
        <f t="array" ref="E42">_xlfn.XLOOKUP($B42,CodeMinutesTable[[Code]:[Code]],CodeMinutesTable[[Minutes]:[Minutes]]) *_xlfn.XLOOKUP(E$1,'Provider Rates'!$A$2:$A$15,'Provider Rates'!$C$2:$C$15)</f>
        <v>400</v>
      </c>
      <c r="F42" s="6" cm="1">
        <f t="array" ref="F42">_xlfn.XLOOKUP($B42,CodeMinutesTable[[Code]:[Code]],CodeMinutesTable[[Minutes]:[Minutes]]) *_xlfn.XLOOKUP(F$1,'Provider Rates'!$A$2:$A$15,'Provider Rates'!$C$2:$C$15)</f>
        <v>375</v>
      </c>
      <c r="G42" s="6" cm="1">
        <f t="array" ref="G42">_xlfn.XLOOKUP($B42,CodeMinutesTable[[Code]:[Code]],CodeMinutesTable[[Minutes]:[Minutes]]) *_xlfn.XLOOKUP(G$1,'Provider Rates'!$A$2:$A$15,'Provider Rates'!$C$2:$C$15)</f>
        <v>350</v>
      </c>
      <c r="H42" s="6" cm="1">
        <f t="array" ref="H42">_xlfn.XLOOKUP($B42,CodeMinutesTable[[Code]:[Code]],CodeMinutesTable[[Minutes]:[Minutes]]) *_xlfn.XLOOKUP(H$1,'Provider Rates'!$A$2:$A$15,'Provider Rates'!$C$2:$C$15)</f>
        <v>325</v>
      </c>
      <c r="I42" s="6" cm="1">
        <f t="array" ref="I42">_xlfn.XLOOKUP($B42,CodeMinutesTable[[Code]:[Code]],CodeMinutesTable[[Minutes]:[Minutes]]) *_xlfn.XLOOKUP(I$1,'Provider Rates'!$A$2:$A$15,'Provider Rates'!$C$2:$C$15)</f>
        <v>300</v>
      </c>
      <c r="J42" s="6" cm="1">
        <f t="array" ref="J42">_xlfn.XLOOKUP($B42,CodeMinutesTable[[Code]:[Code]],CodeMinutesTable[[Minutes]:[Minutes]]) *_xlfn.XLOOKUP(J$1,'Provider Rates'!$A$2:$A$15,'Provider Rates'!$C$2:$C$15)</f>
        <v>275</v>
      </c>
      <c r="K42" s="6" cm="1">
        <f t="array" ref="K42">_xlfn.XLOOKUP($B42,CodeMinutesTable[[Code]:[Code]],CodeMinutesTable[[Minutes]:[Minutes]]) *_xlfn.XLOOKUP(K$1,'Provider Rates'!$A$2:$A$15,'Provider Rates'!$C$2:$C$15)</f>
        <v>250.00000000000003</v>
      </c>
      <c r="L42" s="6" cm="1">
        <f t="array" ref="L42">_xlfn.XLOOKUP($B42,CodeMinutesTable[[Code]:[Code]],CodeMinutesTable[[Minutes]:[Minutes]]) *_xlfn.XLOOKUP(L$1,'Provider Rates'!$A$2:$A$15,'Provider Rates'!$C$2:$C$15)</f>
        <v>225</v>
      </c>
      <c r="M42" s="6" cm="1">
        <f t="array" ref="M42">_xlfn.XLOOKUP($B42,CodeMinutesTable[[Code]:[Code]],CodeMinutesTable[[Minutes]:[Minutes]]) *_xlfn.XLOOKUP(M$1,'Provider Rates'!$A$2:$A$15,'Provider Rates'!$C$2:$C$15)</f>
        <v>200</v>
      </c>
      <c r="N42" s="6" cm="1">
        <f t="array" ref="N42">_xlfn.XLOOKUP($B42,CodeMinutesTable[[Code]:[Code]],CodeMinutesTable[[Minutes]:[Minutes]]) *_xlfn.XLOOKUP(N$1,'Provider Rates'!$A$2:$A$15,'Provider Rates'!$C$2:$C$15)</f>
        <v>175</v>
      </c>
      <c r="O42" s="6" cm="1">
        <f t="array" ref="O42">_xlfn.XLOOKUP($B42,CodeMinutesTable[[Code]:[Code]],CodeMinutesTable[[Minutes]:[Minutes]]) *_xlfn.XLOOKUP(O$1,'Provider Rates'!$A$2:$A$15,'Provider Rates'!$C$2:$C$15)</f>
        <v>150</v>
      </c>
      <c r="P42" s="6" cm="1">
        <f t="array" ref="P42">_xlfn.XLOOKUP($B42,CodeMinutesTable[[Code]:[Code]],CodeMinutesTable[[Minutes]:[Minutes]]) *_xlfn.XLOOKUP(P$1,'Provider Rates'!$A$2:$A$15,'Provider Rates'!$C$2:$C$15)</f>
        <v>100</v>
      </c>
      <c r="Q42" s="6">
        <f>VLOOKUP($B42, CodeMinutesTable[[Code]:[Minutes]], 3, FALSE) * VLOOKUP(Q$1, ProviderRatesTable[], 3, FALSE)</f>
        <v>75</v>
      </c>
    </row>
    <row r="43" spans="1:17" hidden="1" x14ac:dyDescent="0.25">
      <c r="A43" s="3" t="str">
        <f>INDEX(CodeMinutesTable[Frequently Used],MATCH(CodeRatesTable[[#This Row],[Billing Code]],CodeMinutesTable[Code],0))</f>
        <v>No</v>
      </c>
      <c r="B43" s="3" t="s">
        <v>120</v>
      </c>
      <c r="C43" t="s">
        <v>121</v>
      </c>
      <c r="D43" s="6">
        <f>VLOOKUP($B43, CodeMinutesTable[[Code]:[Minutes]], 3, FALSE) * VLOOKUP(D$1, ProviderRatesTable[], 3, FALSE)</f>
        <v>1275</v>
      </c>
      <c r="E43" s="6" cm="1">
        <f t="array" ref="E43">_xlfn.XLOOKUP($B43,CodeMinutesTable[[Code]:[Code]],CodeMinutesTable[[Minutes]:[Minutes]]) *_xlfn.XLOOKUP(E$1,'Provider Rates'!$A$2:$A$15,'Provider Rates'!$C$2:$C$15)</f>
        <v>1200</v>
      </c>
      <c r="F43" s="6" cm="1">
        <f t="array" ref="F43">_xlfn.XLOOKUP($B43,CodeMinutesTable[[Code]:[Code]],CodeMinutesTable[[Minutes]:[Minutes]]) *_xlfn.XLOOKUP(F$1,'Provider Rates'!$A$2:$A$15,'Provider Rates'!$C$2:$C$15)</f>
        <v>1125</v>
      </c>
      <c r="G43" s="6" cm="1">
        <f t="array" ref="G43">_xlfn.XLOOKUP($B43,CodeMinutesTable[[Code]:[Code]],CodeMinutesTable[[Minutes]:[Minutes]]) *_xlfn.XLOOKUP(G$1,'Provider Rates'!$A$2:$A$15,'Provider Rates'!$C$2:$C$15)</f>
        <v>1050</v>
      </c>
      <c r="H43" s="6" cm="1">
        <f t="array" ref="H43">_xlfn.XLOOKUP($B43,CodeMinutesTable[[Code]:[Code]],CodeMinutesTable[[Minutes]:[Minutes]]) *_xlfn.XLOOKUP(H$1,'Provider Rates'!$A$2:$A$15,'Provider Rates'!$C$2:$C$15)</f>
        <v>975</v>
      </c>
      <c r="I43" s="6" cm="1">
        <f t="array" ref="I43">_xlfn.XLOOKUP($B43,CodeMinutesTable[[Code]:[Code]],CodeMinutesTable[[Minutes]:[Minutes]]) *_xlfn.XLOOKUP(I$1,'Provider Rates'!$A$2:$A$15,'Provider Rates'!$C$2:$C$15)</f>
        <v>900</v>
      </c>
      <c r="J43" s="6" cm="1">
        <f t="array" ref="J43">_xlfn.XLOOKUP($B43,CodeMinutesTable[[Code]:[Code]],CodeMinutesTable[[Minutes]:[Minutes]]) *_xlfn.XLOOKUP(J$1,'Provider Rates'!$A$2:$A$15,'Provider Rates'!$C$2:$C$15)</f>
        <v>825</v>
      </c>
      <c r="K43" s="6" cm="1">
        <f t="array" ref="K43">_xlfn.XLOOKUP($B43,CodeMinutesTable[[Code]:[Code]],CodeMinutesTable[[Minutes]:[Minutes]]) *_xlfn.XLOOKUP(K$1,'Provider Rates'!$A$2:$A$15,'Provider Rates'!$C$2:$C$15)</f>
        <v>750</v>
      </c>
      <c r="L43" s="6" cm="1">
        <f t="array" ref="L43">_xlfn.XLOOKUP($B43,CodeMinutesTable[[Code]:[Code]],CodeMinutesTable[[Minutes]:[Minutes]]) *_xlfn.XLOOKUP(L$1,'Provider Rates'!$A$2:$A$15,'Provider Rates'!$C$2:$C$15)</f>
        <v>675</v>
      </c>
      <c r="M43" s="6" cm="1">
        <f t="array" ref="M43">_xlfn.XLOOKUP($B43,CodeMinutesTable[[Code]:[Code]],CodeMinutesTable[[Minutes]:[Minutes]]) *_xlfn.XLOOKUP(M$1,'Provider Rates'!$A$2:$A$15,'Provider Rates'!$C$2:$C$15)</f>
        <v>600</v>
      </c>
      <c r="N43" s="6" cm="1">
        <f t="array" ref="N43">_xlfn.XLOOKUP($B43,CodeMinutesTable[[Code]:[Code]],CodeMinutesTable[[Minutes]:[Minutes]]) *_xlfn.XLOOKUP(N$1,'Provider Rates'!$A$2:$A$15,'Provider Rates'!$C$2:$C$15)</f>
        <v>525</v>
      </c>
      <c r="O43" s="6" cm="1">
        <f t="array" ref="O43">_xlfn.XLOOKUP($B43,CodeMinutesTable[[Code]:[Code]],CodeMinutesTable[[Minutes]:[Minutes]]) *_xlfn.XLOOKUP(O$1,'Provider Rates'!$A$2:$A$15,'Provider Rates'!$C$2:$C$15)</f>
        <v>450</v>
      </c>
      <c r="P43" s="6" cm="1">
        <f t="array" ref="P43">_xlfn.XLOOKUP($B43,CodeMinutesTable[[Code]:[Code]],CodeMinutesTable[[Minutes]:[Minutes]]) *_xlfn.XLOOKUP(P$1,'Provider Rates'!$A$2:$A$15,'Provider Rates'!$C$2:$C$15)</f>
        <v>300</v>
      </c>
      <c r="Q43" s="6">
        <f>VLOOKUP($B43, CodeMinutesTable[[Code]:[Minutes]], 3, FALSE) * VLOOKUP(Q$1, ProviderRatesTable[], 3, FALSE)</f>
        <v>225</v>
      </c>
    </row>
    <row r="44" spans="1:17" hidden="1" x14ac:dyDescent="0.25">
      <c r="A44" s="3" t="str">
        <f>INDEX(CodeMinutesTable[Frequently Used],MATCH(CodeRatesTable[[#This Row],[Billing Code]],CodeMinutesTable[Code],0))</f>
        <v>No</v>
      </c>
      <c r="B44" s="3" t="s">
        <v>122</v>
      </c>
      <c r="C44" t="s">
        <v>123</v>
      </c>
      <c r="D44" s="6">
        <f>VLOOKUP($B44, CodeMinutesTable[[Code]:[Minutes]], 3, FALSE) * VLOOKUP(D$1, ProviderRatesTable[], 3, FALSE)</f>
        <v>1275</v>
      </c>
      <c r="E44" s="6" cm="1">
        <f t="array" ref="E44">_xlfn.XLOOKUP($B44,CodeMinutesTable[[Code]:[Code]],CodeMinutesTable[[Minutes]:[Minutes]]) *_xlfn.XLOOKUP(E$1,'Provider Rates'!$A$2:$A$15,'Provider Rates'!$C$2:$C$15)</f>
        <v>1200</v>
      </c>
      <c r="F44" s="6" cm="1">
        <f t="array" ref="F44">_xlfn.XLOOKUP($B44,CodeMinutesTable[[Code]:[Code]],CodeMinutesTable[[Minutes]:[Minutes]]) *_xlfn.XLOOKUP(F$1,'Provider Rates'!$A$2:$A$15,'Provider Rates'!$C$2:$C$15)</f>
        <v>1125</v>
      </c>
      <c r="G44" s="6" cm="1">
        <f t="array" ref="G44">_xlfn.XLOOKUP($B44,CodeMinutesTable[[Code]:[Code]],CodeMinutesTable[[Minutes]:[Minutes]]) *_xlfn.XLOOKUP(G$1,'Provider Rates'!$A$2:$A$15,'Provider Rates'!$C$2:$C$15)</f>
        <v>1050</v>
      </c>
      <c r="H44" s="6" cm="1">
        <f t="array" ref="H44">_xlfn.XLOOKUP($B44,CodeMinutesTable[[Code]:[Code]],CodeMinutesTable[[Minutes]:[Minutes]]) *_xlfn.XLOOKUP(H$1,'Provider Rates'!$A$2:$A$15,'Provider Rates'!$C$2:$C$15)</f>
        <v>975</v>
      </c>
      <c r="I44" s="6" cm="1">
        <f t="array" ref="I44">_xlfn.XLOOKUP($B44,CodeMinutesTable[[Code]:[Code]],CodeMinutesTable[[Minutes]:[Minutes]]) *_xlfn.XLOOKUP(I$1,'Provider Rates'!$A$2:$A$15,'Provider Rates'!$C$2:$C$15)</f>
        <v>900</v>
      </c>
      <c r="J44" s="6" cm="1">
        <f t="array" ref="J44">_xlfn.XLOOKUP($B44,CodeMinutesTable[[Code]:[Code]],CodeMinutesTable[[Minutes]:[Minutes]]) *_xlfn.XLOOKUP(J$1,'Provider Rates'!$A$2:$A$15,'Provider Rates'!$C$2:$C$15)</f>
        <v>825</v>
      </c>
      <c r="K44" s="6" cm="1">
        <f t="array" ref="K44">_xlfn.XLOOKUP($B44,CodeMinutesTable[[Code]:[Code]],CodeMinutesTable[[Minutes]:[Minutes]]) *_xlfn.XLOOKUP(K$1,'Provider Rates'!$A$2:$A$15,'Provider Rates'!$C$2:$C$15)</f>
        <v>750</v>
      </c>
      <c r="L44" s="6" cm="1">
        <f t="array" ref="L44">_xlfn.XLOOKUP($B44,CodeMinutesTable[[Code]:[Code]],CodeMinutesTable[[Minutes]:[Minutes]]) *_xlfn.XLOOKUP(L$1,'Provider Rates'!$A$2:$A$15,'Provider Rates'!$C$2:$C$15)</f>
        <v>675</v>
      </c>
      <c r="M44" s="6" cm="1">
        <f t="array" ref="M44">_xlfn.XLOOKUP($B44,CodeMinutesTable[[Code]:[Code]],CodeMinutesTable[[Minutes]:[Minutes]]) *_xlfn.XLOOKUP(M$1,'Provider Rates'!$A$2:$A$15,'Provider Rates'!$C$2:$C$15)</f>
        <v>600</v>
      </c>
      <c r="N44" s="6" cm="1">
        <f t="array" ref="N44">_xlfn.XLOOKUP($B44,CodeMinutesTable[[Code]:[Code]],CodeMinutesTable[[Minutes]:[Minutes]]) *_xlfn.XLOOKUP(N$1,'Provider Rates'!$A$2:$A$15,'Provider Rates'!$C$2:$C$15)</f>
        <v>525</v>
      </c>
      <c r="O44" s="6" cm="1">
        <f t="array" ref="O44">_xlfn.XLOOKUP($B44,CodeMinutesTable[[Code]:[Code]],CodeMinutesTable[[Minutes]:[Minutes]]) *_xlfn.XLOOKUP(O$1,'Provider Rates'!$A$2:$A$15,'Provider Rates'!$C$2:$C$15)</f>
        <v>450</v>
      </c>
      <c r="P44" s="6" cm="1">
        <f t="array" ref="P44">_xlfn.XLOOKUP($B44,CodeMinutesTable[[Code]:[Code]],CodeMinutesTable[[Minutes]:[Minutes]]) *_xlfn.XLOOKUP(P$1,'Provider Rates'!$A$2:$A$15,'Provider Rates'!$C$2:$C$15)</f>
        <v>300</v>
      </c>
      <c r="Q44" s="6">
        <f>VLOOKUP($B44, CodeMinutesTable[[Code]:[Minutes]], 3, FALSE) * VLOOKUP(Q$1, ProviderRatesTable[], 3, FALSE)</f>
        <v>225</v>
      </c>
    </row>
    <row r="45" spans="1:17" hidden="1" x14ac:dyDescent="0.25">
      <c r="A45" s="3" t="str">
        <f>INDEX(CodeMinutesTable[Frequently Used],MATCH(CodeRatesTable[[#This Row],[Billing Code]],CodeMinutesTable[Code],0))</f>
        <v>No</v>
      </c>
      <c r="B45" s="3" t="s">
        <v>124</v>
      </c>
      <c r="C45" t="s">
        <v>125</v>
      </c>
      <c r="D45" s="6">
        <f>VLOOKUP($B45, CodeMinutesTable[[Code]:[Minutes]], 3, FALSE) * VLOOKUP(D$1, ProviderRatesTable[], 3, FALSE)</f>
        <v>878.33333333333326</v>
      </c>
      <c r="E45" s="6" cm="1">
        <f t="array" ref="E45">_xlfn.XLOOKUP($B45,CodeMinutesTable[[Code]:[Code]],CodeMinutesTable[[Minutes]:[Minutes]]) *_xlfn.XLOOKUP(E$1,'Provider Rates'!$A$2:$A$15,'Provider Rates'!$C$2:$C$15)</f>
        <v>826.66666666666674</v>
      </c>
      <c r="F45" s="6" cm="1">
        <f t="array" ref="F45">_xlfn.XLOOKUP($B45,CodeMinutesTable[[Code]:[Code]],CodeMinutesTable[[Minutes]:[Minutes]]) *_xlfn.XLOOKUP(F$1,'Provider Rates'!$A$2:$A$15,'Provider Rates'!$C$2:$C$15)</f>
        <v>775</v>
      </c>
      <c r="G45" s="6" cm="1">
        <f t="array" ref="G45">_xlfn.XLOOKUP($B45,CodeMinutesTable[[Code]:[Code]],CodeMinutesTable[[Minutes]:[Minutes]]) *_xlfn.XLOOKUP(G$1,'Provider Rates'!$A$2:$A$15,'Provider Rates'!$C$2:$C$15)</f>
        <v>723.33333333333326</v>
      </c>
      <c r="H45" s="6" cm="1">
        <f t="array" ref="H45">_xlfn.XLOOKUP($B45,CodeMinutesTable[[Code]:[Code]],CodeMinutesTable[[Minutes]:[Minutes]]) *_xlfn.XLOOKUP(H$1,'Provider Rates'!$A$2:$A$15,'Provider Rates'!$C$2:$C$15)</f>
        <v>671.66666666666674</v>
      </c>
      <c r="I45" s="6" cm="1">
        <f t="array" ref="I45">_xlfn.XLOOKUP($B45,CodeMinutesTable[[Code]:[Code]],CodeMinutesTable[[Minutes]:[Minutes]]) *_xlfn.XLOOKUP(I$1,'Provider Rates'!$A$2:$A$15,'Provider Rates'!$C$2:$C$15)</f>
        <v>620</v>
      </c>
      <c r="J45" s="6" cm="1">
        <f t="array" ref="J45">_xlfn.XLOOKUP($B45,CodeMinutesTable[[Code]:[Code]],CodeMinutesTable[[Minutes]:[Minutes]]) *_xlfn.XLOOKUP(J$1,'Provider Rates'!$A$2:$A$15,'Provider Rates'!$C$2:$C$15)</f>
        <v>568.33333333333326</v>
      </c>
      <c r="K45" s="6" cm="1">
        <f t="array" ref="K45">_xlfn.XLOOKUP($B45,CodeMinutesTable[[Code]:[Code]],CodeMinutesTable[[Minutes]:[Minutes]]) *_xlfn.XLOOKUP(K$1,'Provider Rates'!$A$2:$A$15,'Provider Rates'!$C$2:$C$15)</f>
        <v>516.66666666666674</v>
      </c>
      <c r="L45" s="6" cm="1">
        <f t="array" ref="L45">_xlfn.XLOOKUP($B45,CodeMinutesTable[[Code]:[Code]],CodeMinutesTable[[Minutes]:[Minutes]]) *_xlfn.XLOOKUP(L$1,'Provider Rates'!$A$2:$A$15,'Provider Rates'!$C$2:$C$15)</f>
        <v>465</v>
      </c>
      <c r="M45" s="6" cm="1">
        <f t="array" ref="M45">_xlfn.XLOOKUP($B45,CodeMinutesTable[[Code]:[Code]],CodeMinutesTable[[Minutes]:[Minutes]]) *_xlfn.XLOOKUP(M$1,'Provider Rates'!$A$2:$A$15,'Provider Rates'!$C$2:$C$15)</f>
        <v>413.33333333333337</v>
      </c>
      <c r="N45" s="6" cm="1">
        <f t="array" ref="N45">_xlfn.XLOOKUP($B45,CodeMinutesTable[[Code]:[Code]],CodeMinutesTable[[Minutes]:[Minutes]]) *_xlfn.XLOOKUP(N$1,'Provider Rates'!$A$2:$A$15,'Provider Rates'!$C$2:$C$15)</f>
        <v>361.66666666666663</v>
      </c>
      <c r="O45" s="6" cm="1">
        <f t="array" ref="O45">_xlfn.XLOOKUP($B45,CodeMinutesTable[[Code]:[Code]],CodeMinutesTable[[Minutes]:[Minutes]]) *_xlfn.XLOOKUP(O$1,'Provider Rates'!$A$2:$A$15,'Provider Rates'!$C$2:$C$15)</f>
        <v>310</v>
      </c>
      <c r="P45" s="6" cm="1">
        <f t="array" ref="P45">_xlfn.XLOOKUP($B45,CodeMinutesTable[[Code]:[Code]],CodeMinutesTable[[Minutes]:[Minutes]]) *_xlfn.XLOOKUP(P$1,'Provider Rates'!$A$2:$A$15,'Provider Rates'!$C$2:$C$15)</f>
        <v>206.66666666666669</v>
      </c>
      <c r="Q45" s="6">
        <f>VLOOKUP($B45, CodeMinutesTable[[Code]:[Minutes]], 3, FALSE) * VLOOKUP(Q$1, ProviderRatesTable[], 3, FALSE)</f>
        <v>155</v>
      </c>
    </row>
    <row r="46" spans="1:17" hidden="1" x14ac:dyDescent="0.25">
      <c r="A46" s="3" t="str">
        <f>INDEX(CodeMinutesTable[Frequently Used],MATCH(CodeRatesTable[[#This Row],[Billing Code]],CodeMinutesTable[Code],0))</f>
        <v>No</v>
      </c>
      <c r="B46" s="3" t="s">
        <v>126</v>
      </c>
      <c r="C46" t="s">
        <v>127</v>
      </c>
      <c r="D46" s="6">
        <f>VLOOKUP($B46, CodeMinutesTable[[Code]:[Minutes]], 3, FALSE) * VLOOKUP(D$1, ProviderRatesTable[], 3, FALSE)</f>
        <v>425</v>
      </c>
      <c r="E46" s="6" cm="1">
        <f t="array" ref="E46">_xlfn.XLOOKUP($B46,CodeMinutesTable[[Code]:[Code]],CodeMinutesTable[[Minutes]:[Minutes]]) *_xlfn.XLOOKUP(E$1,'Provider Rates'!$A$2:$A$15,'Provider Rates'!$C$2:$C$15)</f>
        <v>400</v>
      </c>
      <c r="F46" s="6" cm="1">
        <f t="array" ref="F46">_xlfn.XLOOKUP($B46,CodeMinutesTable[[Code]:[Code]],CodeMinutesTable[[Minutes]:[Minutes]]) *_xlfn.XLOOKUP(F$1,'Provider Rates'!$A$2:$A$15,'Provider Rates'!$C$2:$C$15)</f>
        <v>375</v>
      </c>
      <c r="G46" s="6" cm="1">
        <f t="array" ref="G46">_xlfn.XLOOKUP($B46,CodeMinutesTable[[Code]:[Code]],CodeMinutesTable[[Minutes]:[Minutes]]) *_xlfn.XLOOKUP(G$1,'Provider Rates'!$A$2:$A$15,'Provider Rates'!$C$2:$C$15)</f>
        <v>350</v>
      </c>
      <c r="H46" s="6" cm="1">
        <f t="array" ref="H46">_xlfn.XLOOKUP($B46,CodeMinutesTable[[Code]:[Code]],CodeMinutesTable[[Minutes]:[Minutes]]) *_xlfn.XLOOKUP(H$1,'Provider Rates'!$A$2:$A$15,'Provider Rates'!$C$2:$C$15)</f>
        <v>325</v>
      </c>
      <c r="I46" s="6" cm="1">
        <f t="array" ref="I46">_xlfn.XLOOKUP($B46,CodeMinutesTable[[Code]:[Code]],CodeMinutesTable[[Minutes]:[Minutes]]) *_xlfn.XLOOKUP(I$1,'Provider Rates'!$A$2:$A$15,'Provider Rates'!$C$2:$C$15)</f>
        <v>300</v>
      </c>
      <c r="J46" s="6" cm="1">
        <f t="array" ref="J46">_xlfn.XLOOKUP($B46,CodeMinutesTable[[Code]:[Code]],CodeMinutesTable[[Minutes]:[Minutes]]) *_xlfn.XLOOKUP(J$1,'Provider Rates'!$A$2:$A$15,'Provider Rates'!$C$2:$C$15)</f>
        <v>275</v>
      </c>
      <c r="K46" s="6" cm="1">
        <f t="array" ref="K46">_xlfn.XLOOKUP($B46,CodeMinutesTable[[Code]:[Code]],CodeMinutesTable[[Minutes]:[Minutes]]) *_xlfn.XLOOKUP(K$1,'Provider Rates'!$A$2:$A$15,'Provider Rates'!$C$2:$C$15)</f>
        <v>250.00000000000003</v>
      </c>
      <c r="L46" s="6" cm="1">
        <f t="array" ref="L46">_xlfn.XLOOKUP($B46,CodeMinutesTable[[Code]:[Code]],CodeMinutesTable[[Minutes]:[Minutes]]) *_xlfn.XLOOKUP(L$1,'Provider Rates'!$A$2:$A$15,'Provider Rates'!$C$2:$C$15)</f>
        <v>225</v>
      </c>
      <c r="M46" s="6" cm="1">
        <f t="array" ref="M46">_xlfn.XLOOKUP($B46,CodeMinutesTable[[Code]:[Code]],CodeMinutesTable[[Minutes]:[Minutes]]) *_xlfn.XLOOKUP(M$1,'Provider Rates'!$A$2:$A$15,'Provider Rates'!$C$2:$C$15)</f>
        <v>200</v>
      </c>
      <c r="N46" s="6" cm="1">
        <f t="array" ref="N46">_xlfn.XLOOKUP($B46,CodeMinutesTable[[Code]:[Code]],CodeMinutesTable[[Minutes]:[Minutes]]) *_xlfn.XLOOKUP(N$1,'Provider Rates'!$A$2:$A$15,'Provider Rates'!$C$2:$C$15)</f>
        <v>175</v>
      </c>
      <c r="O46" s="6" cm="1">
        <f t="array" ref="O46">_xlfn.XLOOKUP($B46,CodeMinutesTable[[Code]:[Code]],CodeMinutesTable[[Minutes]:[Minutes]]) *_xlfn.XLOOKUP(O$1,'Provider Rates'!$A$2:$A$15,'Provider Rates'!$C$2:$C$15)</f>
        <v>150</v>
      </c>
      <c r="P46" s="6" cm="1">
        <f t="array" ref="P46">_xlfn.XLOOKUP($B46,CodeMinutesTable[[Code]:[Code]],CodeMinutesTable[[Minutes]:[Minutes]]) *_xlfn.XLOOKUP(P$1,'Provider Rates'!$A$2:$A$15,'Provider Rates'!$C$2:$C$15)</f>
        <v>100</v>
      </c>
      <c r="Q46" s="6">
        <f>VLOOKUP($B46, CodeMinutesTable[[Code]:[Minutes]], 3, FALSE) * VLOOKUP(Q$1, ProviderRatesTable[], 3, FALSE)</f>
        <v>75</v>
      </c>
    </row>
    <row r="47" spans="1:17" hidden="1" x14ac:dyDescent="0.25">
      <c r="A47" s="3" t="str">
        <f>INDEX(CodeMinutesTable[Frequently Used],MATCH(CodeRatesTable[[#This Row],[Billing Code]],CodeMinutesTable[Code],0))</f>
        <v>No</v>
      </c>
      <c r="B47" s="3" t="s">
        <v>128</v>
      </c>
      <c r="C47" t="s">
        <v>129</v>
      </c>
      <c r="D47" s="6">
        <f>VLOOKUP($B47, CodeMinutesTable[[Code]:[Minutes]], 3, FALSE) * VLOOKUP(D$1, ProviderRatesTable[], 3, FALSE)</f>
        <v>1076.6666666666665</v>
      </c>
      <c r="E47" s="6" cm="1">
        <f t="array" ref="E47">_xlfn.XLOOKUP($B47,CodeMinutesTable[[Code]:[Code]],CodeMinutesTable[[Minutes]:[Minutes]]) *_xlfn.XLOOKUP(E$1,'Provider Rates'!$A$2:$A$15,'Provider Rates'!$C$2:$C$15)</f>
        <v>1013.3333333333334</v>
      </c>
      <c r="F47" s="6" cm="1">
        <f t="array" ref="F47">_xlfn.XLOOKUP($B47,CodeMinutesTable[[Code]:[Code]],CodeMinutesTable[[Minutes]:[Minutes]]) *_xlfn.XLOOKUP(F$1,'Provider Rates'!$A$2:$A$15,'Provider Rates'!$C$2:$C$15)</f>
        <v>950</v>
      </c>
      <c r="G47" s="6" cm="1">
        <f t="array" ref="G47">_xlfn.XLOOKUP($B47,CodeMinutesTable[[Code]:[Code]],CodeMinutesTable[[Minutes]:[Minutes]]) *_xlfn.XLOOKUP(G$1,'Provider Rates'!$A$2:$A$15,'Provider Rates'!$C$2:$C$15)</f>
        <v>886.66666666666663</v>
      </c>
      <c r="H47" s="6" cm="1">
        <f t="array" ref="H47">_xlfn.XLOOKUP($B47,CodeMinutesTable[[Code]:[Code]],CodeMinutesTable[[Minutes]:[Minutes]]) *_xlfn.XLOOKUP(H$1,'Provider Rates'!$A$2:$A$15,'Provider Rates'!$C$2:$C$15)</f>
        <v>823.33333333333337</v>
      </c>
      <c r="I47" s="6" cm="1">
        <f t="array" ref="I47">_xlfn.XLOOKUP($B47,CodeMinutesTable[[Code]:[Code]],CodeMinutesTable[[Minutes]:[Minutes]]) *_xlfn.XLOOKUP(I$1,'Provider Rates'!$A$2:$A$15,'Provider Rates'!$C$2:$C$15)</f>
        <v>760</v>
      </c>
      <c r="J47" s="6" cm="1">
        <f t="array" ref="J47">_xlfn.XLOOKUP($B47,CodeMinutesTable[[Code]:[Code]],CodeMinutesTable[[Minutes]:[Minutes]]) *_xlfn.XLOOKUP(J$1,'Provider Rates'!$A$2:$A$15,'Provider Rates'!$C$2:$C$15)</f>
        <v>696.66666666666663</v>
      </c>
      <c r="K47" s="6" cm="1">
        <f t="array" ref="K47">_xlfn.XLOOKUP($B47,CodeMinutesTable[[Code]:[Code]],CodeMinutesTable[[Minutes]:[Minutes]]) *_xlfn.XLOOKUP(K$1,'Provider Rates'!$A$2:$A$15,'Provider Rates'!$C$2:$C$15)</f>
        <v>633.33333333333337</v>
      </c>
      <c r="L47" s="6" cm="1">
        <f t="array" ref="L47">_xlfn.XLOOKUP($B47,CodeMinutesTable[[Code]:[Code]],CodeMinutesTable[[Minutes]:[Minutes]]) *_xlfn.XLOOKUP(L$1,'Provider Rates'!$A$2:$A$15,'Provider Rates'!$C$2:$C$15)</f>
        <v>570</v>
      </c>
      <c r="M47" s="6" cm="1">
        <f t="array" ref="M47">_xlfn.XLOOKUP($B47,CodeMinutesTable[[Code]:[Code]],CodeMinutesTable[[Minutes]:[Minutes]]) *_xlfn.XLOOKUP(M$1,'Provider Rates'!$A$2:$A$15,'Provider Rates'!$C$2:$C$15)</f>
        <v>506.66666666666669</v>
      </c>
      <c r="N47" s="6" cm="1">
        <f t="array" ref="N47">_xlfn.XLOOKUP($B47,CodeMinutesTable[[Code]:[Code]],CodeMinutesTable[[Minutes]:[Minutes]]) *_xlfn.XLOOKUP(N$1,'Provider Rates'!$A$2:$A$15,'Provider Rates'!$C$2:$C$15)</f>
        <v>443.33333333333331</v>
      </c>
      <c r="O47" s="6" cm="1">
        <f t="array" ref="O47">_xlfn.XLOOKUP($B47,CodeMinutesTable[[Code]:[Code]],CodeMinutesTable[[Minutes]:[Minutes]]) *_xlfn.XLOOKUP(O$1,'Provider Rates'!$A$2:$A$15,'Provider Rates'!$C$2:$C$15)</f>
        <v>380</v>
      </c>
      <c r="P47" s="6" cm="1">
        <f t="array" ref="P47">_xlfn.XLOOKUP($B47,CodeMinutesTable[[Code]:[Code]],CodeMinutesTable[[Minutes]:[Minutes]]) *_xlfn.XLOOKUP(P$1,'Provider Rates'!$A$2:$A$15,'Provider Rates'!$C$2:$C$15)</f>
        <v>253.33333333333334</v>
      </c>
      <c r="Q47" s="6">
        <f>VLOOKUP($B47, CodeMinutesTable[[Code]:[Minutes]], 3, FALSE) * VLOOKUP(Q$1, ProviderRatesTable[], 3, FALSE)</f>
        <v>190</v>
      </c>
    </row>
    <row r="48" spans="1:17" hidden="1" x14ac:dyDescent="0.25">
      <c r="A48" s="3" t="str">
        <f>INDEX(CodeMinutesTable[Frequently Used],MATCH(CodeRatesTable[[#This Row],[Billing Code]],CodeMinutesTable[Code],0))</f>
        <v>No</v>
      </c>
      <c r="B48" s="3" t="s">
        <v>130</v>
      </c>
      <c r="C48" t="s">
        <v>131</v>
      </c>
      <c r="D48" s="6">
        <f>VLOOKUP($B48, CodeMinutesTable[[Code]:[Minutes]], 3, FALSE) * VLOOKUP(D$1, ProviderRatesTable[], 3, FALSE)</f>
        <v>1275</v>
      </c>
      <c r="E48" s="6" cm="1">
        <f t="array" ref="E48">_xlfn.XLOOKUP($B48,CodeMinutesTable[[Code]:[Code]],CodeMinutesTable[[Minutes]:[Minutes]]) *_xlfn.XLOOKUP(E$1,'Provider Rates'!$A$2:$A$15,'Provider Rates'!$C$2:$C$15)</f>
        <v>1200</v>
      </c>
      <c r="F48" s="6" cm="1">
        <f t="array" ref="F48">_xlfn.XLOOKUP($B48,CodeMinutesTable[[Code]:[Code]],CodeMinutesTable[[Minutes]:[Minutes]]) *_xlfn.XLOOKUP(F$1,'Provider Rates'!$A$2:$A$15,'Provider Rates'!$C$2:$C$15)</f>
        <v>1125</v>
      </c>
      <c r="G48" s="6" cm="1">
        <f t="array" ref="G48">_xlfn.XLOOKUP($B48,CodeMinutesTable[[Code]:[Code]],CodeMinutesTable[[Minutes]:[Minutes]]) *_xlfn.XLOOKUP(G$1,'Provider Rates'!$A$2:$A$15,'Provider Rates'!$C$2:$C$15)</f>
        <v>1050</v>
      </c>
      <c r="H48" s="6" cm="1">
        <f t="array" ref="H48">_xlfn.XLOOKUP($B48,CodeMinutesTable[[Code]:[Code]],CodeMinutesTable[[Minutes]:[Minutes]]) *_xlfn.XLOOKUP(H$1,'Provider Rates'!$A$2:$A$15,'Provider Rates'!$C$2:$C$15)</f>
        <v>975</v>
      </c>
      <c r="I48" s="6" cm="1">
        <f t="array" ref="I48">_xlfn.XLOOKUP($B48,CodeMinutesTable[[Code]:[Code]],CodeMinutesTable[[Minutes]:[Minutes]]) *_xlfn.XLOOKUP(I$1,'Provider Rates'!$A$2:$A$15,'Provider Rates'!$C$2:$C$15)</f>
        <v>900</v>
      </c>
      <c r="J48" s="6" cm="1">
        <f t="array" ref="J48">_xlfn.XLOOKUP($B48,CodeMinutesTable[[Code]:[Code]],CodeMinutesTable[[Minutes]:[Minutes]]) *_xlfn.XLOOKUP(J$1,'Provider Rates'!$A$2:$A$15,'Provider Rates'!$C$2:$C$15)</f>
        <v>825</v>
      </c>
      <c r="K48" s="6" cm="1">
        <f t="array" ref="K48">_xlfn.XLOOKUP($B48,CodeMinutesTable[[Code]:[Code]],CodeMinutesTable[[Minutes]:[Minutes]]) *_xlfn.XLOOKUP(K$1,'Provider Rates'!$A$2:$A$15,'Provider Rates'!$C$2:$C$15)</f>
        <v>750</v>
      </c>
      <c r="L48" s="6" cm="1">
        <f t="array" ref="L48">_xlfn.XLOOKUP($B48,CodeMinutesTable[[Code]:[Code]],CodeMinutesTable[[Minutes]:[Minutes]]) *_xlfn.XLOOKUP(L$1,'Provider Rates'!$A$2:$A$15,'Provider Rates'!$C$2:$C$15)</f>
        <v>675</v>
      </c>
      <c r="M48" s="6" cm="1">
        <f t="array" ref="M48">_xlfn.XLOOKUP($B48,CodeMinutesTable[[Code]:[Code]],CodeMinutesTable[[Minutes]:[Minutes]]) *_xlfn.XLOOKUP(M$1,'Provider Rates'!$A$2:$A$15,'Provider Rates'!$C$2:$C$15)</f>
        <v>600</v>
      </c>
      <c r="N48" s="6" cm="1">
        <f t="array" ref="N48">_xlfn.XLOOKUP($B48,CodeMinutesTable[[Code]:[Code]],CodeMinutesTable[[Minutes]:[Minutes]]) *_xlfn.XLOOKUP(N$1,'Provider Rates'!$A$2:$A$15,'Provider Rates'!$C$2:$C$15)</f>
        <v>525</v>
      </c>
      <c r="O48" s="6" cm="1">
        <f t="array" ref="O48">_xlfn.XLOOKUP($B48,CodeMinutesTable[[Code]:[Code]],CodeMinutesTable[[Minutes]:[Minutes]]) *_xlfn.XLOOKUP(O$1,'Provider Rates'!$A$2:$A$15,'Provider Rates'!$C$2:$C$15)</f>
        <v>450</v>
      </c>
      <c r="P48" s="6" cm="1">
        <f t="array" ref="P48">_xlfn.XLOOKUP($B48,CodeMinutesTable[[Code]:[Code]],CodeMinutesTable[[Minutes]:[Minutes]]) *_xlfn.XLOOKUP(P$1,'Provider Rates'!$A$2:$A$15,'Provider Rates'!$C$2:$C$15)</f>
        <v>300</v>
      </c>
      <c r="Q48" s="6">
        <f>VLOOKUP($B48, CodeMinutesTable[[Code]:[Minutes]], 3, FALSE) * VLOOKUP(Q$1, ProviderRatesTable[], 3, FALSE)</f>
        <v>225</v>
      </c>
    </row>
    <row r="49" spans="1:17" hidden="1" x14ac:dyDescent="0.25">
      <c r="A49" s="3" t="str">
        <f>INDEX(CodeMinutesTable[Frequently Used],MATCH(CodeRatesTable[[#This Row],[Billing Code]],CodeMinutesTable[Code],0))</f>
        <v>No</v>
      </c>
      <c r="B49" s="3" t="s">
        <v>132</v>
      </c>
      <c r="C49" t="s">
        <v>133</v>
      </c>
      <c r="D49" s="6">
        <f>VLOOKUP($B49, CodeMinutesTable[[Code]:[Minutes]], 3, FALSE) * VLOOKUP(D$1, ProviderRatesTable[], 3, FALSE)</f>
        <v>425</v>
      </c>
      <c r="E49" s="6" cm="1">
        <f t="array" ref="E49">_xlfn.XLOOKUP($B49,CodeMinutesTable[[Code]:[Code]],CodeMinutesTable[[Minutes]:[Minutes]]) *_xlfn.XLOOKUP(E$1,'Provider Rates'!$A$2:$A$15,'Provider Rates'!$C$2:$C$15)</f>
        <v>400</v>
      </c>
      <c r="F49" s="6" cm="1">
        <f t="array" ref="F49">_xlfn.XLOOKUP($B49,CodeMinutesTable[[Code]:[Code]],CodeMinutesTable[[Minutes]:[Minutes]]) *_xlfn.XLOOKUP(F$1,'Provider Rates'!$A$2:$A$15,'Provider Rates'!$C$2:$C$15)</f>
        <v>375</v>
      </c>
      <c r="G49" s="6" cm="1">
        <f t="array" ref="G49">_xlfn.XLOOKUP($B49,CodeMinutesTable[[Code]:[Code]],CodeMinutesTable[[Minutes]:[Minutes]]) *_xlfn.XLOOKUP(G$1,'Provider Rates'!$A$2:$A$15,'Provider Rates'!$C$2:$C$15)</f>
        <v>350</v>
      </c>
      <c r="H49" s="6" cm="1">
        <f t="array" ref="H49">_xlfn.XLOOKUP($B49,CodeMinutesTable[[Code]:[Code]],CodeMinutesTable[[Minutes]:[Minutes]]) *_xlfn.XLOOKUP(H$1,'Provider Rates'!$A$2:$A$15,'Provider Rates'!$C$2:$C$15)</f>
        <v>325</v>
      </c>
      <c r="I49" s="6" cm="1">
        <f t="array" ref="I49">_xlfn.XLOOKUP($B49,CodeMinutesTable[[Code]:[Code]],CodeMinutesTable[[Minutes]:[Minutes]]) *_xlfn.XLOOKUP(I$1,'Provider Rates'!$A$2:$A$15,'Provider Rates'!$C$2:$C$15)</f>
        <v>300</v>
      </c>
      <c r="J49" s="6" cm="1">
        <f t="array" ref="J49">_xlfn.XLOOKUP($B49,CodeMinutesTable[[Code]:[Code]],CodeMinutesTable[[Minutes]:[Minutes]]) *_xlfn.XLOOKUP(J$1,'Provider Rates'!$A$2:$A$15,'Provider Rates'!$C$2:$C$15)</f>
        <v>275</v>
      </c>
      <c r="K49" s="6" cm="1">
        <f t="array" ref="K49">_xlfn.XLOOKUP($B49,CodeMinutesTable[[Code]:[Code]],CodeMinutesTable[[Minutes]:[Minutes]]) *_xlfn.XLOOKUP(K$1,'Provider Rates'!$A$2:$A$15,'Provider Rates'!$C$2:$C$15)</f>
        <v>250.00000000000003</v>
      </c>
      <c r="L49" s="6" cm="1">
        <f t="array" ref="L49">_xlfn.XLOOKUP($B49,CodeMinutesTable[[Code]:[Code]],CodeMinutesTable[[Minutes]:[Minutes]]) *_xlfn.XLOOKUP(L$1,'Provider Rates'!$A$2:$A$15,'Provider Rates'!$C$2:$C$15)</f>
        <v>225</v>
      </c>
      <c r="M49" s="6" cm="1">
        <f t="array" ref="M49">_xlfn.XLOOKUP($B49,CodeMinutesTable[[Code]:[Code]],CodeMinutesTable[[Minutes]:[Minutes]]) *_xlfn.XLOOKUP(M$1,'Provider Rates'!$A$2:$A$15,'Provider Rates'!$C$2:$C$15)</f>
        <v>200</v>
      </c>
      <c r="N49" s="6" cm="1">
        <f t="array" ref="N49">_xlfn.XLOOKUP($B49,CodeMinutesTable[[Code]:[Code]],CodeMinutesTable[[Minutes]:[Minutes]]) *_xlfn.XLOOKUP(N$1,'Provider Rates'!$A$2:$A$15,'Provider Rates'!$C$2:$C$15)</f>
        <v>175</v>
      </c>
      <c r="O49" s="6" cm="1">
        <f t="array" ref="O49">_xlfn.XLOOKUP($B49,CodeMinutesTable[[Code]:[Code]],CodeMinutesTable[[Minutes]:[Minutes]]) *_xlfn.XLOOKUP(O$1,'Provider Rates'!$A$2:$A$15,'Provider Rates'!$C$2:$C$15)</f>
        <v>150</v>
      </c>
      <c r="P49" s="6" cm="1">
        <f t="array" ref="P49">_xlfn.XLOOKUP($B49,CodeMinutesTable[[Code]:[Code]],CodeMinutesTable[[Minutes]:[Minutes]]) *_xlfn.XLOOKUP(P$1,'Provider Rates'!$A$2:$A$15,'Provider Rates'!$C$2:$C$15)</f>
        <v>100</v>
      </c>
      <c r="Q49" s="6">
        <f>VLOOKUP($B49, CodeMinutesTable[[Code]:[Minutes]], 3, FALSE) * VLOOKUP(Q$1, ProviderRatesTable[], 3, FALSE)</f>
        <v>75</v>
      </c>
    </row>
    <row r="50" spans="1:17" hidden="1" x14ac:dyDescent="0.25">
      <c r="A50" s="3" t="str">
        <f>INDEX(CodeMinutesTable[Frequently Used],MATCH(CodeRatesTable[[#This Row],[Billing Code]],CodeMinutesTable[Code],0))</f>
        <v>No</v>
      </c>
      <c r="B50" s="3" t="s">
        <v>134</v>
      </c>
      <c r="C50" t="s">
        <v>135</v>
      </c>
      <c r="D50" s="6">
        <f>VLOOKUP($B50, CodeMinutesTable[[Code]:[Minutes]], 3, FALSE) * VLOOKUP(D$1, ProviderRatesTable[], 3, FALSE)</f>
        <v>425</v>
      </c>
      <c r="E50" s="6" cm="1">
        <f t="array" ref="E50">_xlfn.XLOOKUP($B50,CodeMinutesTable[[Code]:[Code]],CodeMinutesTable[[Minutes]:[Minutes]]) *_xlfn.XLOOKUP(E$1,'Provider Rates'!$A$2:$A$15,'Provider Rates'!$C$2:$C$15)</f>
        <v>400</v>
      </c>
      <c r="F50" s="6" cm="1">
        <f t="array" ref="F50">_xlfn.XLOOKUP($B50,CodeMinutesTable[[Code]:[Code]],CodeMinutesTable[[Minutes]:[Minutes]]) *_xlfn.XLOOKUP(F$1,'Provider Rates'!$A$2:$A$15,'Provider Rates'!$C$2:$C$15)</f>
        <v>375</v>
      </c>
      <c r="G50" s="6" cm="1">
        <f t="array" ref="G50">_xlfn.XLOOKUP($B50,CodeMinutesTable[[Code]:[Code]],CodeMinutesTable[[Minutes]:[Minutes]]) *_xlfn.XLOOKUP(G$1,'Provider Rates'!$A$2:$A$15,'Provider Rates'!$C$2:$C$15)</f>
        <v>350</v>
      </c>
      <c r="H50" s="6" cm="1">
        <f t="array" ref="H50">_xlfn.XLOOKUP($B50,CodeMinutesTable[[Code]:[Code]],CodeMinutesTable[[Minutes]:[Minutes]]) *_xlfn.XLOOKUP(H$1,'Provider Rates'!$A$2:$A$15,'Provider Rates'!$C$2:$C$15)</f>
        <v>325</v>
      </c>
      <c r="I50" s="6" cm="1">
        <f t="array" ref="I50">_xlfn.XLOOKUP($B50,CodeMinutesTable[[Code]:[Code]],CodeMinutesTable[[Minutes]:[Minutes]]) *_xlfn.XLOOKUP(I$1,'Provider Rates'!$A$2:$A$15,'Provider Rates'!$C$2:$C$15)</f>
        <v>300</v>
      </c>
      <c r="J50" s="6" cm="1">
        <f t="array" ref="J50">_xlfn.XLOOKUP($B50,CodeMinutesTable[[Code]:[Code]],CodeMinutesTable[[Minutes]:[Minutes]]) *_xlfn.XLOOKUP(J$1,'Provider Rates'!$A$2:$A$15,'Provider Rates'!$C$2:$C$15)</f>
        <v>275</v>
      </c>
      <c r="K50" s="6" cm="1">
        <f t="array" ref="K50">_xlfn.XLOOKUP($B50,CodeMinutesTable[[Code]:[Code]],CodeMinutesTable[[Minutes]:[Minutes]]) *_xlfn.XLOOKUP(K$1,'Provider Rates'!$A$2:$A$15,'Provider Rates'!$C$2:$C$15)</f>
        <v>250.00000000000003</v>
      </c>
      <c r="L50" s="6" cm="1">
        <f t="array" ref="L50">_xlfn.XLOOKUP($B50,CodeMinutesTable[[Code]:[Code]],CodeMinutesTable[[Minutes]:[Minutes]]) *_xlfn.XLOOKUP(L$1,'Provider Rates'!$A$2:$A$15,'Provider Rates'!$C$2:$C$15)</f>
        <v>225</v>
      </c>
      <c r="M50" s="6" cm="1">
        <f t="array" ref="M50">_xlfn.XLOOKUP($B50,CodeMinutesTable[[Code]:[Code]],CodeMinutesTable[[Minutes]:[Minutes]]) *_xlfn.XLOOKUP(M$1,'Provider Rates'!$A$2:$A$15,'Provider Rates'!$C$2:$C$15)</f>
        <v>200</v>
      </c>
      <c r="N50" s="6" cm="1">
        <f t="array" ref="N50">_xlfn.XLOOKUP($B50,CodeMinutesTable[[Code]:[Code]],CodeMinutesTable[[Minutes]:[Minutes]]) *_xlfn.XLOOKUP(N$1,'Provider Rates'!$A$2:$A$15,'Provider Rates'!$C$2:$C$15)</f>
        <v>175</v>
      </c>
      <c r="O50" s="6" cm="1">
        <f t="array" ref="O50">_xlfn.XLOOKUP($B50,CodeMinutesTable[[Code]:[Code]],CodeMinutesTable[[Minutes]:[Minutes]]) *_xlfn.XLOOKUP(O$1,'Provider Rates'!$A$2:$A$15,'Provider Rates'!$C$2:$C$15)</f>
        <v>150</v>
      </c>
      <c r="P50" s="6" cm="1">
        <f t="array" ref="P50">_xlfn.XLOOKUP($B50,CodeMinutesTable[[Code]:[Code]],CodeMinutesTable[[Minutes]:[Minutes]]) *_xlfn.XLOOKUP(P$1,'Provider Rates'!$A$2:$A$15,'Provider Rates'!$C$2:$C$15)</f>
        <v>100</v>
      </c>
      <c r="Q50" s="6">
        <f>VLOOKUP($B50, CodeMinutesTable[[Code]:[Minutes]], 3, FALSE) * VLOOKUP(Q$1, ProviderRatesTable[], 3, FALSE)</f>
        <v>75</v>
      </c>
    </row>
    <row r="51" spans="1:17" hidden="1" x14ac:dyDescent="0.25">
      <c r="A51" s="3" t="str">
        <f>INDEX(CodeMinutesTable[Frequently Used],MATCH(CodeRatesTable[[#This Row],[Billing Code]],CodeMinutesTable[Code],0))</f>
        <v>No</v>
      </c>
      <c r="B51" s="3" t="s">
        <v>136</v>
      </c>
      <c r="C51" t="s">
        <v>137</v>
      </c>
      <c r="D51" s="6">
        <f>VLOOKUP($B51, CodeMinutesTable[[Code]:[Minutes]], 3, FALSE) * VLOOKUP(D$1, ProviderRatesTable[], 3, FALSE)</f>
        <v>425</v>
      </c>
      <c r="E51" s="6" cm="1">
        <f t="array" ref="E51">_xlfn.XLOOKUP($B51,CodeMinutesTable[[Code]:[Code]],CodeMinutesTable[[Minutes]:[Minutes]]) *_xlfn.XLOOKUP(E$1,'Provider Rates'!$A$2:$A$15,'Provider Rates'!$C$2:$C$15)</f>
        <v>400</v>
      </c>
      <c r="F51" s="6" cm="1">
        <f t="array" ref="F51">_xlfn.XLOOKUP($B51,CodeMinutesTable[[Code]:[Code]],CodeMinutesTable[[Minutes]:[Minutes]]) *_xlfn.XLOOKUP(F$1,'Provider Rates'!$A$2:$A$15,'Provider Rates'!$C$2:$C$15)</f>
        <v>375</v>
      </c>
      <c r="G51" s="6" cm="1">
        <f t="array" ref="G51">_xlfn.XLOOKUP($B51,CodeMinutesTable[[Code]:[Code]],CodeMinutesTable[[Minutes]:[Minutes]]) *_xlfn.XLOOKUP(G$1,'Provider Rates'!$A$2:$A$15,'Provider Rates'!$C$2:$C$15)</f>
        <v>350</v>
      </c>
      <c r="H51" s="6" cm="1">
        <f t="array" ref="H51">_xlfn.XLOOKUP($B51,CodeMinutesTable[[Code]:[Code]],CodeMinutesTable[[Minutes]:[Minutes]]) *_xlfn.XLOOKUP(H$1,'Provider Rates'!$A$2:$A$15,'Provider Rates'!$C$2:$C$15)</f>
        <v>325</v>
      </c>
      <c r="I51" s="6" cm="1">
        <f t="array" ref="I51">_xlfn.XLOOKUP($B51,CodeMinutesTable[[Code]:[Code]],CodeMinutesTable[[Minutes]:[Minutes]]) *_xlfn.XLOOKUP(I$1,'Provider Rates'!$A$2:$A$15,'Provider Rates'!$C$2:$C$15)</f>
        <v>300</v>
      </c>
      <c r="J51" s="6" cm="1">
        <f t="array" ref="J51">_xlfn.XLOOKUP($B51,CodeMinutesTable[[Code]:[Code]],CodeMinutesTable[[Minutes]:[Minutes]]) *_xlfn.XLOOKUP(J$1,'Provider Rates'!$A$2:$A$15,'Provider Rates'!$C$2:$C$15)</f>
        <v>275</v>
      </c>
      <c r="K51" s="6" cm="1">
        <f t="array" ref="K51">_xlfn.XLOOKUP($B51,CodeMinutesTable[[Code]:[Code]],CodeMinutesTable[[Minutes]:[Minutes]]) *_xlfn.XLOOKUP(K$1,'Provider Rates'!$A$2:$A$15,'Provider Rates'!$C$2:$C$15)</f>
        <v>250.00000000000003</v>
      </c>
      <c r="L51" s="6" cm="1">
        <f t="array" ref="L51">_xlfn.XLOOKUP($B51,CodeMinutesTable[[Code]:[Code]],CodeMinutesTable[[Minutes]:[Minutes]]) *_xlfn.XLOOKUP(L$1,'Provider Rates'!$A$2:$A$15,'Provider Rates'!$C$2:$C$15)</f>
        <v>225</v>
      </c>
      <c r="M51" s="6" cm="1">
        <f t="array" ref="M51">_xlfn.XLOOKUP($B51,CodeMinutesTable[[Code]:[Code]],CodeMinutesTable[[Minutes]:[Minutes]]) *_xlfn.XLOOKUP(M$1,'Provider Rates'!$A$2:$A$15,'Provider Rates'!$C$2:$C$15)</f>
        <v>200</v>
      </c>
      <c r="N51" s="6" cm="1">
        <f t="array" ref="N51">_xlfn.XLOOKUP($B51,CodeMinutesTable[[Code]:[Code]],CodeMinutesTable[[Minutes]:[Minutes]]) *_xlfn.XLOOKUP(N$1,'Provider Rates'!$A$2:$A$15,'Provider Rates'!$C$2:$C$15)</f>
        <v>175</v>
      </c>
      <c r="O51" s="6" cm="1">
        <f t="array" ref="O51">_xlfn.XLOOKUP($B51,CodeMinutesTable[[Code]:[Code]],CodeMinutesTable[[Minutes]:[Minutes]]) *_xlfn.XLOOKUP(O$1,'Provider Rates'!$A$2:$A$15,'Provider Rates'!$C$2:$C$15)</f>
        <v>150</v>
      </c>
      <c r="P51" s="6" cm="1">
        <f t="array" ref="P51">_xlfn.XLOOKUP($B51,CodeMinutesTable[[Code]:[Code]],CodeMinutesTable[[Minutes]:[Minutes]]) *_xlfn.XLOOKUP(P$1,'Provider Rates'!$A$2:$A$15,'Provider Rates'!$C$2:$C$15)</f>
        <v>100</v>
      </c>
      <c r="Q51" s="6">
        <f>VLOOKUP($B51, CodeMinutesTable[[Code]:[Minutes]], 3, FALSE) * VLOOKUP(Q$1, ProviderRatesTable[], 3, FALSE)</f>
        <v>75</v>
      </c>
    </row>
    <row r="52" spans="1:17" hidden="1" x14ac:dyDescent="0.25">
      <c r="A52" s="3" t="str">
        <f>INDEX(CodeMinutesTable[Frequently Used],MATCH(CodeRatesTable[[#This Row],[Billing Code]],CodeMinutesTable[Code],0))</f>
        <v>No</v>
      </c>
      <c r="B52" s="3" t="s">
        <v>138</v>
      </c>
      <c r="C52" t="s">
        <v>139</v>
      </c>
      <c r="D52" s="6">
        <f>VLOOKUP($B52, CodeMinutesTable[[Code]:[Minutes]], 3, FALSE) * VLOOKUP(D$1, ProviderRatesTable[], 3, FALSE)</f>
        <v>425</v>
      </c>
      <c r="E52" s="6" cm="1">
        <f t="array" ref="E52">_xlfn.XLOOKUP($B52,CodeMinutesTable[[Code]:[Code]],CodeMinutesTable[[Minutes]:[Minutes]]) *_xlfn.XLOOKUP(E$1,'Provider Rates'!$A$2:$A$15,'Provider Rates'!$C$2:$C$15)</f>
        <v>400</v>
      </c>
      <c r="F52" s="6" cm="1">
        <f t="array" ref="F52">_xlfn.XLOOKUP($B52,CodeMinutesTable[[Code]:[Code]],CodeMinutesTable[[Minutes]:[Minutes]]) *_xlfn.XLOOKUP(F$1,'Provider Rates'!$A$2:$A$15,'Provider Rates'!$C$2:$C$15)</f>
        <v>375</v>
      </c>
      <c r="G52" s="6" cm="1">
        <f t="array" ref="G52">_xlfn.XLOOKUP($B52,CodeMinutesTable[[Code]:[Code]],CodeMinutesTable[[Minutes]:[Minutes]]) *_xlfn.XLOOKUP(G$1,'Provider Rates'!$A$2:$A$15,'Provider Rates'!$C$2:$C$15)</f>
        <v>350</v>
      </c>
      <c r="H52" s="6" cm="1">
        <f t="array" ref="H52">_xlfn.XLOOKUP($B52,CodeMinutesTable[[Code]:[Code]],CodeMinutesTable[[Minutes]:[Minutes]]) *_xlfn.XLOOKUP(H$1,'Provider Rates'!$A$2:$A$15,'Provider Rates'!$C$2:$C$15)</f>
        <v>325</v>
      </c>
      <c r="I52" s="6" cm="1">
        <f t="array" ref="I52">_xlfn.XLOOKUP($B52,CodeMinutesTable[[Code]:[Code]],CodeMinutesTable[[Minutes]:[Minutes]]) *_xlfn.XLOOKUP(I$1,'Provider Rates'!$A$2:$A$15,'Provider Rates'!$C$2:$C$15)</f>
        <v>300</v>
      </c>
      <c r="J52" s="6" cm="1">
        <f t="array" ref="J52">_xlfn.XLOOKUP($B52,CodeMinutesTable[[Code]:[Code]],CodeMinutesTable[[Minutes]:[Minutes]]) *_xlfn.XLOOKUP(J$1,'Provider Rates'!$A$2:$A$15,'Provider Rates'!$C$2:$C$15)</f>
        <v>275</v>
      </c>
      <c r="K52" s="6" cm="1">
        <f t="array" ref="K52">_xlfn.XLOOKUP($B52,CodeMinutesTable[[Code]:[Code]],CodeMinutesTable[[Minutes]:[Minutes]]) *_xlfn.XLOOKUP(K$1,'Provider Rates'!$A$2:$A$15,'Provider Rates'!$C$2:$C$15)</f>
        <v>250.00000000000003</v>
      </c>
      <c r="L52" s="6" cm="1">
        <f t="array" ref="L52">_xlfn.XLOOKUP($B52,CodeMinutesTable[[Code]:[Code]],CodeMinutesTable[[Minutes]:[Minutes]]) *_xlfn.XLOOKUP(L$1,'Provider Rates'!$A$2:$A$15,'Provider Rates'!$C$2:$C$15)</f>
        <v>225</v>
      </c>
      <c r="M52" s="6" cm="1">
        <f t="array" ref="M52">_xlfn.XLOOKUP($B52,CodeMinutesTable[[Code]:[Code]],CodeMinutesTable[[Minutes]:[Minutes]]) *_xlfn.XLOOKUP(M$1,'Provider Rates'!$A$2:$A$15,'Provider Rates'!$C$2:$C$15)</f>
        <v>200</v>
      </c>
      <c r="N52" s="6" cm="1">
        <f t="array" ref="N52">_xlfn.XLOOKUP($B52,CodeMinutesTable[[Code]:[Code]],CodeMinutesTable[[Minutes]:[Minutes]]) *_xlfn.XLOOKUP(N$1,'Provider Rates'!$A$2:$A$15,'Provider Rates'!$C$2:$C$15)</f>
        <v>175</v>
      </c>
      <c r="O52" s="6" cm="1">
        <f t="array" ref="O52">_xlfn.XLOOKUP($B52,CodeMinutesTable[[Code]:[Code]],CodeMinutesTable[[Minutes]:[Minutes]]) *_xlfn.XLOOKUP(O$1,'Provider Rates'!$A$2:$A$15,'Provider Rates'!$C$2:$C$15)</f>
        <v>150</v>
      </c>
      <c r="P52" s="6" cm="1">
        <f t="array" ref="P52">_xlfn.XLOOKUP($B52,CodeMinutesTable[[Code]:[Code]],CodeMinutesTable[[Minutes]:[Minutes]]) *_xlfn.XLOOKUP(P$1,'Provider Rates'!$A$2:$A$15,'Provider Rates'!$C$2:$C$15)</f>
        <v>100</v>
      </c>
      <c r="Q52" s="6">
        <f>VLOOKUP($B52, CodeMinutesTable[[Code]:[Minutes]], 3, FALSE) * VLOOKUP(Q$1, ProviderRatesTable[], 3, FALSE)</f>
        <v>75</v>
      </c>
    </row>
    <row r="53" spans="1:17" hidden="1" x14ac:dyDescent="0.25">
      <c r="A53" s="3" t="str">
        <f>INDEX(CodeMinutesTable[Frequently Used],MATCH(CodeRatesTable[[#This Row],[Billing Code]],CodeMinutesTable[Code],0))</f>
        <v>No</v>
      </c>
      <c r="B53" s="3" t="s">
        <v>140</v>
      </c>
      <c r="C53" t="s">
        <v>141</v>
      </c>
      <c r="D53" s="6">
        <f>VLOOKUP($B53, CodeMinutesTable[[Code]:[Minutes]], 3, FALSE) * VLOOKUP(D$1, ProviderRatesTable[], 3, FALSE)</f>
        <v>425</v>
      </c>
      <c r="E53" s="6" cm="1">
        <f t="array" ref="E53">_xlfn.XLOOKUP($B53,CodeMinutesTable[[Code]:[Code]],CodeMinutesTable[[Minutes]:[Minutes]]) *_xlfn.XLOOKUP(E$1,'Provider Rates'!$A$2:$A$15,'Provider Rates'!$C$2:$C$15)</f>
        <v>400</v>
      </c>
      <c r="F53" s="6" cm="1">
        <f t="array" ref="F53">_xlfn.XLOOKUP($B53,CodeMinutesTable[[Code]:[Code]],CodeMinutesTable[[Minutes]:[Minutes]]) *_xlfn.XLOOKUP(F$1,'Provider Rates'!$A$2:$A$15,'Provider Rates'!$C$2:$C$15)</f>
        <v>375</v>
      </c>
      <c r="G53" s="6" cm="1">
        <f t="array" ref="G53">_xlfn.XLOOKUP($B53,CodeMinutesTable[[Code]:[Code]],CodeMinutesTable[[Minutes]:[Minutes]]) *_xlfn.XLOOKUP(G$1,'Provider Rates'!$A$2:$A$15,'Provider Rates'!$C$2:$C$15)</f>
        <v>350</v>
      </c>
      <c r="H53" s="6" cm="1">
        <f t="array" ref="H53">_xlfn.XLOOKUP($B53,CodeMinutesTable[[Code]:[Code]],CodeMinutesTable[[Minutes]:[Minutes]]) *_xlfn.XLOOKUP(H$1,'Provider Rates'!$A$2:$A$15,'Provider Rates'!$C$2:$C$15)</f>
        <v>325</v>
      </c>
      <c r="I53" s="6" cm="1">
        <f t="array" ref="I53">_xlfn.XLOOKUP($B53,CodeMinutesTable[[Code]:[Code]],CodeMinutesTable[[Minutes]:[Minutes]]) *_xlfn.XLOOKUP(I$1,'Provider Rates'!$A$2:$A$15,'Provider Rates'!$C$2:$C$15)</f>
        <v>300</v>
      </c>
      <c r="J53" s="6" cm="1">
        <f t="array" ref="J53">_xlfn.XLOOKUP($B53,CodeMinutesTable[[Code]:[Code]],CodeMinutesTable[[Minutes]:[Minutes]]) *_xlfn.XLOOKUP(J$1,'Provider Rates'!$A$2:$A$15,'Provider Rates'!$C$2:$C$15)</f>
        <v>275</v>
      </c>
      <c r="K53" s="6" cm="1">
        <f t="array" ref="K53">_xlfn.XLOOKUP($B53,CodeMinutesTable[[Code]:[Code]],CodeMinutesTable[[Minutes]:[Minutes]]) *_xlfn.XLOOKUP(K$1,'Provider Rates'!$A$2:$A$15,'Provider Rates'!$C$2:$C$15)</f>
        <v>250.00000000000003</v>
      </c>
      <c r="L53" s="6" cm="1">
        <f t="array" ref="L53">_xlfn.XLOOKUP($B53,CodeMinutesTable[[Code]:[Code]],CodeMinutesTable[[Minutes]:[Minutes]]) *_xlfn.XLOOKUP(L$1,'Provider Rates'!$A$2:$A$15,'Provider Rates'!$C$2:$C$15)</f>
        <v>225</v>
      </c>
      <c r="M53" s="6" cm="1">
        <f t="array" ref="M53">_xlfn.XLOOKUP($B53,CodeMinutesTable[[Code]:[Code]],CodeMinutesTable[[Minutes]:[Minutes]]) *_xlfn.XLOOKUP(M$1,'Provider Rates'!$A$2:$A$15,'Provider Rates'!$C$2:$C$15)</f>
        <v>200</v>
      </c>
      <c r="N53" s="6" cm="1">
        <f t="array" ref="N53">_xlfn.XLOOKUP($B53,CodeMinutesTable[[Code]:[Code]],CodeMinutesTable[[Minutes]:[Minutes]]) *_xlfn.XLOOKUP(N$1,'Provider Rates'!$A$2:$A$15,'Provider Rates'!$C$2:$C$15)</f>
        <v>175</v>
      </c>
      <c r="O53" s="6" cm="1">
        <f t="array" ref="O53">_xlfn.XLOOKUP($B53,CodeMinutesTable[[Code]:[Code]],CodeMinutesTable[[Minutes]:[Minutes]]) *_xlfn.XLOOKUP(O$1,'Provider Rates'!$A$2:$A$15,'Provider Rates'!$C$2:$C$15)</f>
        <v>150</v>
      </c>
      <c r="P53" s="6" cm="1">
        <f t="array" ref="P53">_xlfn.XLOOKUP($B53,CodeMinutesTable[[Code]:[Code]],CodeMinutesTable[[Minutes]:[Minutes]]) *_xlfn.XLOOKUP(P$1,'Provider Rates'!$A$2:$A$15,'Provider Rates'!$C$2:$C$15)</f>
        <v>100</v>
      </c>
      <c r="Q53" s="6">
        <f>VLOOKUP($B53, CodeMinutesTable[[Code]:[Minutes]], 3, FALSE) * VLOOKUP(Q$1, ProviderRatesTable[], 3, FALSE)</f>
        <v>75</v>
      </c>
    </row>
    <row r="54" spans="1:17" hidden="1" x14ac:dyDescent="0.25">
      <c r="A54" s="3" t="str">
        <f>INDEX(CodeMinutesTable[Frequently Used],MATCH(CodeRatesTable[[#This Row],[Billing Code]],CodeMinutesTable[Code],0))</f>
        <v>No</v>
      </c>
      <c r="B54" s="3" t="s">
        <v>142</v>
      </c>
      <c r="C54" t="s">
        <v>143</v>
      </c>
      <c r="D54" s="6">
        <f>VLOOKUP($B54, CodeMinutesTable[[Code]:[Minutes]], 3, FALSE) * VLOOKUP(D$1, ProviderRatesTable[], 3, FALSE)</f>
        <v>226.66666666666666</v>
      </c>
      <c r="E54" s="6" cm="1">
        <f t="array" ref="E54">_xlfn.XLOOKUP($B54,CodeMinutesTable[[Code]:[Code]],CodeMinutesTable[[Minutes]:[Minutes]]) *_xlfn.XLOOKUP(E$1,'Provider Rates'!$A$2:$A$15,'Provider Rates'!$C$2:$C$15)</f>
        <v>213.33333333333334</v>
      </c>
      <c r="F54" s="6" cm="1">
        <f t="array" ref="F54">_xlfn.XLOOKUP($B54,CodeMinutesTable[[Code]:[Code]],CodeMinutesTable[[Minutes]:[Minutes]]) *_xlfn.XLOOKUP(F$1,'Provider Rates'!$A$2:$A$15,'Provider Rates'!$C$2:$C$15)</f>
        <v>200</v>
      </c>
      <c r="G54" s="6" cm="1">
        <f t="array" ref="G54">_xlfn.XLOOKUP($B54,CodeMinutesTable[[Code]:[Code]],CodeMinutesTable[[Minutes]:[Minutes]]) *_xlfn.XLOOKUP(G$1,'Provider Rates'!$A$2:$A$15,'Provider Rates'!$C$2:$C$15)</f>
        <v>186.66666666666666</v>
      </c>
      <c r="H54" s="6" cm="1">
        <f t="array" ref="H54">_xlfn.XLOOKUP($B54,CodeMinutesTable[[Code]:[Code]],CodeMinutesTable[[Minutes]:[Minutes]]) *_xlfn.XLOOKUP(H$1,'Provider Rates'!$A$2:$A$15,'Provider Rates'!$C$2:$C$15)</f>
        <v>173.33333333333334</v>
      </c>
      <c r="I54" s="6" cm="1">
        <f t="array" ref="I54">_xlfn.XLOOKUP($B54,CodeMinutesTable[[Code]:[Code]],CodeMinutesTable[[Minutes]:[Minutes]]) *_xlfn.XLOOKUP(I$1,'Provider Rates'!$A$2:$A$15,'Provider Rates'!$C$2:$C$15)</f>
        <v>160</v>
      </c>
      <c r="J54" s="6" cm="1">
        <f t="array" ref="J54">_xlfn.XLOOKUP($B54,CodeMinutesTable[[Code]:[Code]],CodeMinutesTable[[Minutes]:[Minutes]]) *_xlfn.XLOOKUP(J$1,'Provider Rates'!$A$2:$A$15,'Provider Rates'!$C$2:$C$15)</f>
        <v>146.66666666666666</v>
      </c>
      <c r="K54" s="6" cm="1">
        <f t="array" ref="K54">_xlfn.XLOOKUP($B54,CodeMinutesTable[[Code]:[Code]],CodeMinutesTable[[Minutes]:[Minutes]]) *_xlfn.XLOOKUP(K$1,'Provider Rates'!$A$2:$A$15,'Provider Rates'!$C$2:$C$15)</f>
        <v>133.33333333333334</v>
      </c>
      <c r="L54" s="6" cm="1">
        <f t="array" ref="L54">_xlfn.XLOOKUP($B54,CodeMinutesTable[[Code]:[Code]],CodeMinutesTable[[Minutes]:[Minutes]]) *_xlfn.XLOOKUP(L$1,'Provider Rates'!$A$2:$A$15,'Provider Rates'!$C$2:$C$15)</f>
        <v>120</v>
      </c>
      <c r="M54" s="6" cm="1">
        <f t="array" ref="M54">_xlfn.XLOOKUP($B54,CodeMinutesTable[[Code]:[Code]],CodeMinutesTable[[Minutes]:[Minutes]]) *_xlfn.XLOOKUP(M$1,'Provider Rates'!$A$2:$A$15,'Provider Rates'!$C$2:$C$15)</f>
        <v>106.66666666666667</v>
      </c>
      <c r="N54" s="6" cm="1">
        <f t="array" ref="N54">_xlfn.XLOOKUP($B54,CodeMinutesTable[[Code]:[Code]],CodeMinutesTable[[Minutes]:[Minutes]]) *_xlfn.XLOOKUP(N$1,'Provider Rates'!$A$2:$A$15,'Provider Rates'!$C$2:$C$15)</f>
        <v>93.333333333333329</v>
      </c>
      <c r="O54" s="6" cm="1">
        <f t="array" ref="O54">_xlfn.XLOOKUP($B54,CodeMinutesTable[[Code]:[Code]],CodeMinutesTable[[Minutes]:[Minutes]]) *_xlfn.XLOOKUP(O$1,'Provider Rates'!$A$2:$A$15,'Provider Rates'!$C$2:$C$15)</f>
        <v>80</v>
      </c>
      <c r="P54" s="6" cm="1">
        <f t="array" ref="P54">_xlfn.XLOOKUP($B54,CodeMinutesTable[[Code]:[Code]],CodeMinutesTable[[Minutes]:[Minutes]]) *_xlfn.XLOOKUP(P$1,'Provider Rates'!$A$2:$A$15,'Provider Rates'!$C$2:$C$15)</f>
        <v>53.333333333333336</v>
      </c>
      <c r="Q54" s="6">
        <f>VLOOKUP($B54, CodeMinutesTable[[Code]:[Minutes]], 3, FALSE) * VLOOKUP(Q$1, ProviderRatesTable[], 3, FALSE)</f>
        <v>40</v>
      </c>
    </row>
    <row r="55" spans="1:17" hidden="1" x14ac:dyDescent="0.25">
      <c r="A55" s="3" t="str">
        <f>INDEX(CodeMinutesTable[Frequently Used],MATCH(CodeRatesTable[[#This Row],[Billing Code]],CodeMinutesTable[Code],0))</f>
        <v>No</v>
      </c>
      <c r="B55" s="3" t="s">
        <v>144</v>
      </c>
      <c r="C55" t="s">
        <v>145</v>
      </c>
      <c r="D55" s="6">
        <f>VLOOKUP($B55, CodeMinutesTable[[Code]:[Minutes]], 3, FALSE) * VLOOKUP(D$1, ProviderRatesTable[], 3, FALSE)</f>
        <v>425</v>
      </c>
      <c r="E55" s="6" cm="1">
        <f t="array" ref="E55">_xlfn.XLOOKUP($B55,CodeMinutesTable[[Code]:[Code]],CodeMinutesTable[[Minutes]:[Minutes]]) *_xlfn.XLOOKUP(E$1,'Provider Rates'!$A$2:$A$15,'Provider Rates'!$C$2:$C$15)</f>
        <v>400</v>
      </c>
      <c r="F55" s="6" cm="1">
        <f t="array" ref="F55">_xlfn.XLOOKUP($B55,CodeMinutesTable[[Code]:[Code]],CodeMinutesTable[[Minutes]:[Minutes]]) *_xlfn.XLOOKUP(F$1,'Provider Rates'!$A$2:$A$15,'Provider Rates'!$C$2:$C$15)</f>
        <v>375</v>
      </c>
      <c r="G55" s="6" cm="1">
        <f t="array" ref="G55">_xlfn.XLOOKUP($B55,CodeMinutesTable[[Code]:[Code]],CodeMinutesTable[[Minutes]:[Minutes]]) *_xlfn.XLOOKUP(G$1,'Provider Rates'!$A$2:$A$15,'Provider Rates'!$C$2:$C$15)</f>
        <v>350</v>
      </c>
      <c r="H55" s="6" cm="1">
        <f t="array" ref="H55">_xlfn.XLOOKUP($B55,CodeMinutesTable[[Code]:[Code]],CodeMinutesTable[[Minutes]:[Minutes]]) *_xlfn.XLOOKUP(H$1,'Provider Rates'!$A$2:$A$15,'Provider Rates'!$C$2:$C$15)</f>
        <v>325</v>
      </c>
      <c r="I55" s="6" cm="1">
        <f t="array" ref="I55">_xlfn.XLOOKUP($B55,CodeMinutesTable[[Code]:[Code]],CodeMinutesTable[[Minutes]:[Minutes]]) *_xlfn.XLOOKUP(I$1,'Provider Rates'!$A$2:$A$15,'Provider Rates'!$C$2:$C$15)</f>
        <v>300</v>
      </c>
      <c r="J55" s="6" cm="1">
        <f t="array" ref="J55">_xlfn.XLOOKUP($B55,CodeMinutesTable[[Code]:[Code]],CodeMinutesTable[[Minutes]:[Minutes]]) *_xlfn.XLOOKUP(J$1,'Provider Rates'!$A$2:$A$15,'Provider Rates'!$C$2:$C$15)</f>
        <v>275</v>
      </c>
      <c r="K55" s="6" cm="1">
        <f t="array" ref="K55">_xlfn.XLOOKUP($B55,CodeMinutesTable[[Code]:[Code]],CodeMinutesTable[[Minutes]:[Minutes]]) *_xlfn.XLOOKUP(K$1,'Provider Rates'!$A$2:$A$15,'Provider Rates'!$C$2:$C$15)</f>
        <v>250.00000000000003</v>
      </c>
      <c r="L55" s="6" cm="1">
        <f t="array" ref="L55">_xlfn.XLOOKUP($B55,CodeMinutesTable[[Code]:[Code]],CodeMinutesTable[[Minutes]:[Minutes]]) *_xlfn.XLOOKUP(L$1,'Provider Rates'!$A$2:$A$15,'Provider Rates'!$C$2:$C$15)</f>
        <v>225</v>
      </c>
      <c r="M55" s="6" cm="1">
        <f t="array" ref="M55">_xlfn.XLOOKUP($B55,CodeMinutesTable[[Code]:[Code]],CodeMinutesTable[[Minutes]:[Minutes]]) *_xlfn.XLOOKUP(M$1,'Provider Rates'!$A$2:$A$15,'Provider Rates'!$C$2:$C$15)</f>
        <v>200</v>
      </c>
      <c r="N55" s="6" cm="1">
        <f t="array" ref="N55">_xlfn.XLOOKUP($B55,CodeMinutesTable[[Code]:[Code]],CodeMinutesTable[[Minutes]:[Minutes]]) *_xlfn.XLOOKUP(N$1,'Provider Rates'!$A$2:$A$15,'Provider Rates'!$C$2:$C$15)</f>
        <v>175</v>
      </c>
      <c r="O55" s="6" cm="1">
        <f t="array" ref="O55">_xlfn.XLOOKUP($B55,CodeMinutesTable[[Code]:[Code]],CodeMinutesTable[[Minutes]:[Minutes]]) *_xlfn.XLOOKUP(O$1,'Provider Rates'!$A$2:$A$15,'Provider Rates'!$C$2:$C$15)</f>
        <v>150</v>
      </c>
      <c r="P55" s="6" cm="1">
        <f t="array" ref="P55">_xlfn.XLOOKUP($B55,CodeMinutesTable[[Code]:[Code]],CodeMinutesTable[[Minutes]:[Minutes]]) *_xlfn.XLOOKUP(P$1,'Provider Rates'!$A$2:$A$15,'Provider Rates'!$C$2:$C$15)</f>
        <v>100</v>
      </c>
      <c r="Q55" s="6">
        <f>VLOOKUP($B55, CodeMinutesTable[[Code]:[Minutes]], 3, FALSE) * VLOOKUP(Q$1, ProviderRatesTable[], 3, FALSE)</f>
        <v>75</v>
      </c>
    </row>
    <row r="56" spans="1:17" hidden="1" x14ac:dyDescent="0.25">
      <c r="A56" s="3" t="str">
        <f>INDEX(CodeMinutesTable[Frequently Used],MATCH(CodeRatesTable[[#This Row],[Billing Code]],CodeMinutesTable[Code],0))</f>
        <v>No</v>
      </c>
      <c r="B56" s="3" t="s">
        <v>146</v>
      </c>
      <c r="C56" t="s">
        <v>147</v>
      </c>
      <c r="D56" s="6">
        <f>VLOOKUP($B56, CodeMinutesTable[[Code]:[Minutes]], 3, FALSE) * VLOOKUP(D$1, ProviderRatesTable[], 3, FALSE)</f>
        <v>226.66666666666666</v>
      </c>
      <c r="E56" s="6" cm="1">
        <f t="array" ref="E56">_xlfn.XLOOKUP($B56,CodeMinutesTable[[Code]:[Code]],CodeMinutesTable[[Minutes]:[Minutes]]) *_xlfn.XLOOKUP(E$1,'Provider Rates'!$A$2:$A$15,'Provider Rates'!$C$2:$C$15)</f>
        <v>213.33333333333334</v>
      </c>
      <c r="F56" s="6" cm="1">
        <f t="array" ref="F56">_xlfn.XLOOKUP($B56,CodeMinutesTable[[Code]:[Code]],CodeMinutesTable[[Minutes]:[Minutes]]) *_xlfn.XLOOKUP(F$1,'Provider Rates'!$A$2:$A$15,'Provider Rates'!$C$2:$C$15)</f>
        <v>200</v>
      </c>
      <c r="G56" s="6" cm="1">
        <f t="array" ref="G56">_xlfn.XLOOKUP($B56,CodeMinutesTable[[Code]:[Code]],CodeMinutesTable[[Minutes]:[Minutes]]) *_xlfn.XLOOKUP(G$1,'Provider Rates'!$A$2:$A$15,'Provider Rates'!$C$2:$C$15)</f>
        <v>186.66666666666666</v>
      </c>
      <c r="H56" s="6" cm="1">
        <f t="array" ref="H56">_xlfn.XLOOKUP($B56,CodeMinutesTable[[Code]:[Code]],CodeMinutesTable[[Minutes]:[Minutes]]) *_xlfn.XLOOKUP(H$1,'Provider Rates'!$A$2:$A$15,'Provider Rates'!$C$2:$C$15)</f>
        <v>173.33333333333334</v>
      </c>
      <c r="I56" s="6" cm="1">
        <f t="array" ref="I56">_xlfn.XLOOKUP($B56,CodeMinutesTable[[Code]:[Code]],CodeMinutesTable[[Minutes]:[Minutes]]) *_xlfn.XLOOKUP(I$1,'Provider Rates'!$A$2:$A$15,'Provider Rates'!$C$2:$C$15)</f>
        <v>160</v>
      </c>
      <c r="J56" s="6" cm="1">
        <f t="array" ref="J56">_xlfn.XLOOKUP($B56,CodeMinutesTable[[Code]:[Code]],CodeMinutesTable[[Minutes]:[Minutes]]) *_xlfn.XLOOKUP(J$1,'Provider Rates'!$A$2:$A$15,'Provider Rates'!$C$2:$C$15)</f>
        <v>146.66666666666666</v>
      </c>
      <c r="K56" s="6" cm="1">
        <f t="array" ref="K56">_xlfn.XLOOKUP($B56,CodeMinutesTable[[Code]:[Code]],CodeMinutesTable[[Minutes]:[Minutes]]) *_xlfn.XLOOKUP(K$1,'Provider Rates'!$A$2:$A$15,'Provider Rates'!$C$2:$C$15)</f>
        <v>133.33333333333334</v>
      </c>
      <c r="L56" s="6" cm="1">
        <f t="array" ref="L56">_xlfn.XLOOKUP($B56,CodeMinutesTable[[Code]:[Code]],CodeMinutesTable[[Minutes]:[Minutes]]) *_xlfn.XLOOKUP(L$1,'Provider Rates'!$A$2:$A$15,'Provider Rates'!$C$2:$C$15)</f>
        <v>120</v>
      </c>
      <c r="M56" s="6" cm="1">
        <f t="array" ref="M56">_xlfn.XLOOKUP($B56,CodeMinutesTable[[Code]:[Code]],CodeMinutesTable[[Minutes]:[Minutes]]) *_xlfn.XLOOKUP(M$1,'Provider Rates'!$A$2:$A$15,'Provider Rates'!$C$2:$C$15)</f>
        <v>106.66666666666667</v>
      </c>
      <c r="N56" s="6" cm="1">
        <f t="array" ref="N56">_xlfn.XLOOKUP($B56,CodeMinutesTable[[Code]:[Code]],CodeMinutesTable[[Minutes]:[Minutes]]) *_xlfn.XLOOKUP(N$1,'Provider Rates'!$A$2:$A$15,'Provider Rates'!$C$2:$C$15)</f>
        <v>93.333333333333329</v>
      </c>
      <c r="O56" s="6" cm="1">
        <f t="array" ref="O56">_xlfn.XLOOKUP($B56,CodeMinutesTable[[Code]:[Code]],CodeMinutesTable[[Minutes]:[Minutes]]) *_xlfn.XLOOKUP(O$1,'Provider Rates'!$A$2:$A$15,'Provider Rates'!$C$2:$C$15)</f>
        <v>80</v>
      </c>
      <c r="P56" s="6" cm="1">
        <f t="array" ref="P56">_xlfn.XLOOKUP($B56,CodeMinutesTable[[Code]:[Code]],CodeMinutesTable[[Minutes]:[Minutes]]) *_xlfn.XLOOKUP(P$1,'Provider Rates'!$A$2:$A$15,'Provider Rates'!$C$2:$C$15)</f>
        <v>53.333333333333336</v>
      </c>
      <c r="Q56" s="6">
        <f>VLOOKUP($B56, CodeMinutesTable[[Code]:[Minutes]], 3, FALSE) * VLOOKUP(Q$1, ProviderRatesTable[], 3, FALSE)</f>
        <v>40</v>
      </c>
    </row>
    <row r="57" spans="1:17" hidden="1" x14ac:dyDescent="0.25">
      <c r="A57" s="3" t="str">
        <f>INDEX(CodeMinutesTable[Frequently Used],MATCH(CodeRatesTable[[#This Row],[Billing Code]],CodeMinutesTable[Code],0))</f>
        <v>No</v>
      </c>
      <c r="B57" s="3" t="s">
        <v>148</v>
      </c>
      <c r="C57" t="s">
        <v>149</v>
      </c>
      <c r="D57" s="6">
        <f>VLOOKUP($B57, CodeMinutesTable[[Code]:[Minutes]], 3, FALSE) * VLOOKUP(D$1, ProviderRatesTable[], 3, FALSE)</f>
        <v>453.33333333333331</v>
      </c>
      <c r="E57" s="6" cm="1">
        <f t="array" ref="E57">_xlfn.XLOOKUP($B57,CodeMinutesTable[[Code]:[Code]],CodeMinutesTable[[Minutes]:[Minutes]]) *_xlfn.XLOOKUP(E$1,'Provider Rates'!$A$2:$A$15,'Provider Rates'!$C$2:$C$15)</f>
        <v>426.66666666666669</v>
      </c>
      <c r="F57" s="6" cm="1">
        <f t="array" ref="F57">_xlfn.XLOOKUP($B57,CodeMinutesTable[[Code]:[Code]],CodeMinutesTable[[Minutes]:[Minutes]]) *_xlfn.XLOOKUP(F$1,'Provider Rates'!$A$2:$A$15,'Provider Rates'!$C$2:$C$15)</f>
        <v>400</v>
      </c>
      <c r="G57" s="6" cm="1">
        <f t="array" ref="G57">_xlfn.XLOOKUP($B57,CodeMinutesTable[[Code]:[Code]],CodeMinutesTable[[Minutes]:[Minutes]]) *_xlfn.XLOOKUP(G$1,'Provider Rates'!$A$2:$A$15,'Provider Rates'!$C$2:$C$15)</f>
        <v>373.33333333333331</v>
      </c>
      <c r="H57" s="6" cm="1">
        <f t="array" ref="H57">_xlfn.XLOOKUP($B57,CodeMinutesTable[[Code]:[Code]],CodeMinutesTable[[Minutes]:[Minutes]]) *_xlfn.XLOOKUP(H$1,'Provider Rates'!$A$2:$A$15,'Provider Rates'!$C$2:$C$15)</f>
        <v>346.66666666666669</v>
      </c>
      <c r="I57" s="6" cm="1">
        <f t="array" ref="I57">_xlfn.XLOOKUP($B57,CodeMinutesTable[[Code]:[Code]],CodeMinutesTable[[Minutes]:[Minutes]]) *_xlfn.XLOOKUP(I$1,'Provider Rates'!$A$2:$A$15,'Provider Rates'!$C$2:$C$15)</f>
        <v>320</v>
      </c>
      <c r="J57" s="6" cm="1">
        <f t="array" ref="J57">_xlfn.XLOOKUP($B57,CodeMinutesTable[[Code]:[Code]],CodeMinutesTable[[Minutes]:[Minutes]]) *_xlfn.XLOOKUP(J$1,'Provider Rates'!$A$2:$A$15,'Provider Rates'!$C$2:$C$15)</f>
        <v>293.33333333333331</v>
      </c>
      <c r="K57" s="6" cm="1">
        <f t="array" ref="K57">_xlfn.XLOOKUP($B57,CodeMinutesTable[[Code]:[Code]],CodeMinutesTable[[Minutes]:[Minutes]]) *_xlfn.XLOOKUP(K$1,'Provider Rates'!$A$2:$A$15,'Provider Rates'!$C$2:$C$15)</f>
        <v>266.66666666666669</v>
      </c>
      <c r="L57" s="6" cm="1">
        <f t="array" ref="L57">_xlfn.XLOOKUP($B57,CodeMinutesTable[[Code]:[Code]],CodeMinutesTable[[Minutes]:[Minutes]]) *_xlfn.XLOOKUP(L$1,'Provider Rates'!$A$2:$A$15,'Provider Rates'!$C$2:$C$15)</f>
        <v>240</v>
      </c>
      <c r="M57" s="6" cm="1">
        <f t="array" ref="M57">_xlfn.XLOOKUP($B57,CodeMinutesTable[[Code]:[Code]],CodeMinutesTable[[Minutes]:[Minutes]]) *_xlfn.XLOOKUP(M$1,'Provider Rates'!$A$2:$A$15,'Provider Rates'!$C$2:$C$15)</f>
        <v>213.33333333333334</v>
      </c>
      <c r="N57" s="6" cm="1">
        <f t="array" ref="N57">_xlfn.XLOOKUP($B57,CodeMinutesTable[[Code]:[Code]],CodeMinutesTable[[Minutes]:[Minutes]]) *_xlfn.XLOOKUP(N$1,'Provider Rates'!$A$2:$A$15,'Provider Rates'!$C$2:$C$15)</f>
        <v>186.66666666666666</v>
      </c>
      <c r="O57" s="6" cm="1">
        <f t="array" ref="O57">_xlfn.XLOOKUP($B57,CodeMinutesTable[[Code]:[Code]],CodeMinutesTable[[Minutes]:[Minutes]]) *_xlfn.XLOOKUP(O$1,'Provider Rates'!$A$2:$A$15,'Provider Rates'!$C$2:$C$15)</f>
        <v>160</v>
      </c>
      <c r="P57" s="6" cm="1">
        <f t="array" ref="P57">_xlfn.XLOOKUP($B57,CodeMinutesTable[[Code]:[Code]],CodeMinutesTable[[Minutes]:[Minutes]]) *_xlfn.XLOOKUP(P$1,'Provider Rates'!$A$2:$A$15,'Provider Rates'!$C$2:$C$15)</f>
        <v>106.66666666666667</v>
      </c>
      <c r="Q57" s="6">
        <f>VLOOKUP($B57, CodeMinutesTable[[Code]:[Minutes]], 3, FALSE) * VLOOKUP(Q$1, ProviderRatesTable[], 3, FALSE)</f>
        <v>80</v>
      </c>
    </row>
    <row r="58" spans="1:17" hidden="1" x14ac:dyDescent="0.25">
      <c r="A58" s="3" t="str">
        <f>INDEX(CodeMinutesTable[Frequently Used],MATCH(CodeRatesTable[[#This Row],[Billing Code]],CodeMinutesTable[Code],0))</f>
        <v>No</v>
      </c>
      <c r="B58" s="3" t="s">
        <v>150</v>
      </c>
      <c r="C58" t="s">
        <v>151</v>
      </c>
      <c r="D58" s="6">
        <f>VLOOKUP($B58, CodeMinutesTable[[Code]:[Minutes]], 3, FALSE) * VLOOKUP(D$1, ProviderRatesTable[], 3, FALSE)</f>
        <v>736.66666666666663</v>
      </c>
      <c r="E58" s="6" cm="1">
        <f t="array" ref="E58">_xlfn.XLOOKUP($B58,CodeMinutesTable[[Code]:[Code]],CodeMinutesTable[[Minutes]:[Minutes]]) *_xlfn.XLOOKUP(E$1,'Provider Rates'!$A$2:$A$15,'Provider Rates'!$C$2:$C$15)</f>
        <v>693.33333333333337</v>
      </c>
      <c r="F58" s="6" cm="1">
        <f t="array" ref="F58">_xlfn.XLOOKUP($B58,CodeMinutesTable[[Code]:[Code]],CodeMinutesTable[[Minutes]:[Minutes]]) *_xlfn.XLOOKUP(F$1,'Provider Rates'!$A$2:$A$15,'Provider Rates'!$C$2:$C$15)</f>
        <v>650</v>
      </c>
      <c r="G58" s="6" cm="1">
        <f t="array" ref="G58">_xlfn.XLOOKUP($B58,CodeMinutesTable[[Code]:[Code]],CodeMinutesTable[[Minutes]:[Minutes]]) *_xlfn.XLOOKUP(G$1,'Provider Rates'!$A$2:$A$15,'Provider Rates'!$C$2:$C$15)</f>
        <v>606.66666666666663</v>
      </c>
      <c r="H58" s="6" cm="1">
        <f t="array" ref="H58">_xlfn.XLOOKUP($B58,CodeMinutesTable[[Code]:[Code]],CodeMinutesTable[[Minutes]:[Minutes]]) *_xlfn.XLOOKUP(H$1,'Provider Rates'!$A$2:$A$15,'Provider Rates'!$C$2:$C$15)</f>
        <v>563.33333333333337</v>
      </c>
      <c r="I58" s="6" cm="1">
        <f t="array" ref="I58">_xlfn.XLOOKUP($B58,CodeMinutesTable[[Code]:[Code]],CodeMinutesTable[[Minutes]:[Minutes]]) *_xlfn.XLOOKUP(I$1,'Provider Rates'!$A$2:$A$15,'Provider Rates'!$C$2:$C$15)</f>
        <v>520</v>
      </c>
      <c r="J58" s="6" cm="1">
        <f t="array" ref="J58">_xlfn.XLOOKUP($B58,CodeMinutesTable[[Code]:[Code]],CodeMinutesTable[[Minutes]:[Minutes]]) *_xlfn.XLOOKUP(J$1,'Provider Rates'!$A$2:$A$15,'Provider Rates'!$C$2:$C$15)</f>
        <v>476.66666666666663</v>
      </c>
      <c r="K58" s="6" cm="1">
        <f t="array" ref="K58">_xlfn.XLOOKUP($B58,CodeMinutesTable[[Code]:[Code]],CodeMinutesTable[[Minutes]:[Minutes]]) *_xlfn.XLOOKUP(K$1,'Provider Rates'!$A$2:$A$15,'Provider Rates'!$C$2:$C$15)</f>
        <v>433.33333333333337</v>
      </c>
      <c r="L58" s="6" cm="1">
        <f t="array" ref="L58">_xlfn.XLOOKUP($B58,CodeMinutesTable[[Code]:[Code]],CodeMinutesTable[[Minutes]:[Minutes]]) *_xlfn.XLOOKUP(L$1,'Provider Rates'!$A$2:$A$15,'Provider Rates'!$C$2:$C$15)</f>
        <v>390</v>
      </c>
      <c r="M58" s="6" cm="1">
        <f t="array" ref="M58">_xlfn.XLOOKUP($B58,CodeMinutesTable[[Code]:[Code]],CodeMinutesTable[[Minutes]:[Minutes]]) *_xlfn.XLOOKUP(M$1,'Provider Rates'!$A$2:$A$15,'Provider Rates'!$C$2:$C$15)</f>
        <v>346.66666666666669</v>
      </c>
      <c r="N58" s="6" cm="1">
        <f t="array" ref="N58">_xlfn.XLOOKUP($B58,CodeMinutesTable[[Code]:[Code]],CodeMinutesTable[[Minutes]:[Minutes]]) *_xlfn.XLOOKUP(N$1,'Provider Rates'!$A$2:$A$15,'Provider Rates'!$C$2:$C$15)</f>
        <v>303.33333333333331</v>
      </c>
      <c r="O58" s="6" cm="1">
        <f t="array" ref="O58">_xlfn.XLOOKUP($B58,CodeMinutesTable[[Code]:[Code]],CodeMinutesTable[[Minutes]:[Minutes]]) *_xlfn.XLOOKUP(O$1,'Provider Rates'!$A$2:$A$15,'Provider Rates'!$C$2:$C$15)</f>
        <v>260</v>
      </c>
      <c r="P58" s="6" cm="1">
        <f t="array" ref="P58">_xlfn.XLOOKUP($B58,CodeMinutesTable[[Code]:[Code]],CodeMinutesTable[[Minutes]:[Minutes]]) *_xlfn.XLOOKUP(P$1,'Provider Rates'!$A$2:$A$15,'Provider Rates'!$C$2:$C$15)</f>
        <v>173.33333333333334</v>
      </c>
      <c r="Q58" s="6">
        <f>VLOOKUP($B58, CodeMinutesTable[[Code]:[Minutes]], 3, FALSE) * VLOOKUP(Q$1, ProviderRatesTable[], 3, FALSE)</f>
        <v>130</v>
      </c>
    </row>
    <row r="59" spans="1:17" x14ac:dyDescent="0.25">
      <c r="A59" s="3" t="str">
        <f>INDEX(CodeMinutesTable[Frequently Used],MATCH(CodeRatesTable[[#This Row],[Billing Code]],CodeMinutesTable[Code],0))</f>
        <v>Yes</v>
      </c>
      <c r="B59" s="3" t="s">
        <v>152</v>
      </c>
      <c r="C59" t="s">
        <v>153</v>
      </c>
      <c r="D59" s="6">
        <f>VLOOKUP($B59, CodeMinutesTable[[Code]:[Minutes]], 3, FALSE) * VLOOKUP(D$1, ProviderRatesTable[], 3, FALSE)</f>
        <v>623.33333333333326</v>
      </c>
      <c r="E59" s="6">
        <f>VLOOKUP($B59, CodeMinutesTable[[Code]:[Minutes]], 3, FALSE) * VLOOKUP(E$1, ProviderRatesTable[], 3, FALSE)</f>
        <v>586.66666666666674</v>
      </c>
      <c r="F59" s="6">
        <f>VLOOKUP($B59, CodeMinutesTable[[Code]:[Minutes]], 3, FALSE) * VLOOKUP(F$1, ProviderRatesTable[], 3, FALSE)</f>
        <v>550</v>
      </c>
      <c r="G59" s="6">
        <f>VLOOKUP($B59, CodeMinutesTable[[Code]:[Minutes]], 3, FALSE) * VLOOKUP(G$1, ProviderRatesTable[], 3, FALSE)</f>
        <v>513.33333333333326</v>
      </c>
      <c r="H59" s="6">
        <f>VLOOKUP($B59, CodeMinutesTable[[Code]:[Minutes]], 3, FALSE) * VLOOKUP(H$1, ProviderRatesTable[], 3, FALSE)</f>
        <v>476.66666666666669</v>
      </c>
      <c r="I59" s="6">
        <f>VLOOKUP($B59, CodeMinutesTable[[Code]:[Minutes]], 3, FALSE) * VLOOKUP(I$1, ProviderRatesTable[], 3, FALSE)</f>
        <v>440</v>
      </c>
      <c r="J59" s="6">
        <f>VLOOKUP($B59, CodeMinutesTable[[Code]:[Minutes]], 3, FALSE) * VLOOKUP(J$1, ProviderRatesTable[], 3, FALSE)</f>
        <v>403.33333333333331</v>
      </c>
      <c r="K59" s="6">
        <f>VLOOKUP($B59, CodeMinutesTable[[Code]:[Minutes]], 3, FALSE) * VLOOKUP(K$1, ProviderRatesTable[], 3, FALSE)</f>
        <v>366.66666666666669</v>
      </c>
      <c r="L59" s="6">
        <f>VLOOKUP($B59, CodeMinutesTable[[Code]:[Minutes]], 3, FALSE) * VLOOKUP(L$1, ProviderRatesTable[], 3, FALSE)</f>
        <v>330</v>
      </c>
      <c r="M59" s="6">
        <f>VLOOKUP($B59, CodeMinutesTable[[Code]:[Minutes]], 3, FALSE) * VLOOKUP(M$1, ProviderRatesTable[], 3, FALSE)</f>
        <v>293.33333333333337</v>
      </c>
      <c r="N59" s="6">
        <f>VLOOKUP($B59, CodeMinutesTable[[Code]:[Minutes]], 3, FALSE) * VLOOKUP(N$1, ProviderRatesTable[], 3, FALSE)</f>
        <v>256.66666666666663</v>
      </c>
      <c r="O59" s="6">
        <f>VLOOKUP($B59, CodeMinutesTable[[Code]:[Minutes]], 3, FALSE) * VLOOKUP(O$1, ProviderRatesTable[], 3, FALSE)</f>
        <v>220</v>
      </c>
      <c r="P59" s="6">
        <f>VLOOKUP($B59, CodeMinutesTable[[Code]:[Minutes]], 3, FALSE) * VLOOKUP(P$1, ProviderRatesTable[], 3, FALSE)</f>
        <v>146.66666666666669</v>
      </c>
      <c r="Q59" s="6">
        <f>VLOOKUP($B59, CodeMinutesTable[[Code]:[Minutes]], 3, FALSE) * VLOOKUP(Q$1, ProviderRatesTable[], 3, FALSE)</f>
        <v>110</v>
      </c>
    </row>
    <row r="60" spans="1:17" x14ac:dyDescent="0.25">
      <c r="A60" s="3" t="str">
        <f>INDEX(CodeMinutesTable[Frequently Used],MATCH(CodeRatesTable[[#This Row],[Billing Code]],CodeMinutesTable[Code],0))</f>
        <v>Yes</v>
      </c>
      <c r="B60" s="3" t="s">
        <v>154</v>
      </c>
      <c r="C60" t="s">
        <v>155</v>
      </c>
      <c r="D60" s="6">
        <f>VLOOKUP($B60, CodeMinutesTable[[Code]:[Minutes]], 3, FALSE) * VLOOKUP(D$1, ProviderRatesTable[], 3, FALSE)</f>
        <v>1048.3333333333333</v>
      </c>
      <c r="E60" s="6">
        <f>VLOOKUP($B60, CodeMinutesTable[[Code]:[Minutes]], 3, FALSE) * VLOOKUP(E$1, ProviderRatesTable[], 3, FALSE)</f>
        <v>986.66666666666674</v>
      </c>
      <c r="F60" s="6">
        <f>VLOOKUP($B60, CodeMinutesTable[[Code]:[Minutes]], 3, FALSE) * VLOOKUP(F$1, ProviderRatesTable[], 3, FALSE)</f>
        <v>925</v>
      </c>
      <c r="G60" s="6">
        <f>VLOOKUP($B60, CodeMinutesTable[[Code]:[Minutes]], 3, FALSE) * VLOOKUP(G$1, ProviderRatesTable[], 3, FALSE)</f>
        <v>863.33333333333326</v>
      </c>
      <c r="H60" s="6">
        <f>VLOOKUP($B60, CodeMinutesTable[[Code]:[Minutes]], 3, FALSE) * VLOOKUP(H$1, ProviderRatesTable[], 3, FALSE)</f>
        <v>801.66666666666674</v>
      </c>
      <c r="I60" s="6">
        <f>VLOOKUP($B60, CodeMinutesTable[[Code]:[Minutes]], 3, FALSE) * VLOOKUP(I$1, ProviderRatesTable[], 3, FALSE)</f>
        <v>740</v>
      </c>
      <c r="J60" s="6">
        <f>VLOOKUP($B60, CodeMinutesTable[[Code]:[Minutes]], 3, FALSE) * VLOOKUP(J$1, ProviderRatesTable[], 3, FALSE)</f>
        <v>678.33333333333326</v>
      </c>
      <c r="K60" s="6">
        <f>VLOOKUP($B60, CodeMinutesTable[[Code]:[Minutes]], 3, FALSE) * VLOOKUP(K$1, ProviderRatesTable[], 3, FALSE)</f>
        <v>616.66666666666674</v>
      </c>
      <c r="L60" s="6">
        <f>VLOOKUP($B60, CodeMinutesTable[[Code]:[Minutes]], 3, FALSE) * VLOOKUP(L$1, ProviderRatesTable[], 3, FALSE)</f>
        <v>555</v>
      </c>
      <c r="M60" s="6">
        <f>VLOOKUP($B60, CodeMinutesTable[[Code]:[Minutes]], 3, FALSE) * VLOOKUP(M$1, ProviderRatesTable[], 3, FALSE)</f>
        <v>493.33333333333337</v>
      </c>
      <c r="N60" s="6">
        <f>VLOOKUP($B60, CodeMinutesTable[[Code]:[Minutes]], 3, FALSE) * VLOOKUP(N$1, ProviderRatesTable[], 3, FALSE)</f>
        <v>431.66666666666663</v>
      </c>
      <c r="O60" s="6">
        <f>VLOOKUP($B60, CodeMinutesTable[[Code]:[Minutes]], 3, FALSE) * VLOOKUP(O$1, ProviderRatesTable[], 3, FALSE)</f>
        <v>370</v>
      </c>
      <c r="P60" s="6">
        <f>VLOOKUP($B60, CodeMinutesTable[[Code]:[Minutes]], 3, FALSE) * VLOOKUP(P$1, ProviderRatesTable[], 3, FALSE)</f>
        <v>246.66666666666669</v>
      </c>
      <c r="Q60" s="6">
        <f>VLOOKUP($B60, CodeMinutesTable[[Code]:[Minutes]], 3, FALSE) * VLOOKUP(Q$1, ProviderRatesTable[], 3, FALSE)</f>
        <v>185</v>
      </c>
    </row>
    <row r="61" spans="1:17" x14ac:dyDescent="0.25">
      <c r="A61" s="3" t="str">
        <f>INDEX(CodeMinutesTable[Frequently Used],MATCH(CodeRatesTable[[#This Row],[Billing Code]],CodeMinutesTable[Code],0))</f>
        <v>Yes</v>
      </c>
      <c r="B61" s="3" t="s">
        <v>156</v>
      </c>
      <c r="C61" t="s">
        <v>157</v>
      </c>
      <c r="D61" s="6">
        <f>VLOOKUP($B61, CodeMinutesTable[[Code]:[Minutes]], 3, FALSE) * VLOOKUP(D$1, ProviderRatesTable[], 3, FALSE)</f>
        <v>1473.3333333333333</v>
      </c>
      <c r="E61" s="6">
        <f>VLOOKUP($B61, CodeMinutesTable[[Code]:[Minutes]], 3, FALSE) * VLOOKUP(E$1, ProviderRatesTable[], 3, FALSE)</f>
        <v>1386.6666666666667</v>
      </c>
      <c r="F61" s="6">
        <f>VLOOKUP($B61, CodeMinutesTable[[Code]:[Minutes]], 3, FALSE) * VLOOKUP(F$1, ProviderRatesTable[], 3, FALSE)</f>
        <v>1300</v>
      </c>
      <c r="G61" s="6">
        <f>VLOOKUP($B61, CodeMinutesTable[[Code]:[Minutes]], 3, FALSE) * VLOOKUP(G$1, ProviderRatesTable[], 3, FALSE)</f>
        <v>1213.3333333333333</v>
      </c>
      <c r="H61" s="6">
        <f>VLOOKUP($B61, CodeMinutesTable[[Code]:[Minutes]], 3, FALSE) * VLOOKUP(H$1, ProviderRatesTable[], 3, FALSE)</f>
        <v>1126.6666666666667</v>
      </c>
      <c r="I61" s="6">
        <f>VLOOKUP($B61, CodeMinutesTable[[Code]:[Minutes]], 3, FALSE) * VLOOKUP(I$1, ProviderRatesTable[], 3, FALSE)</f>
        <v>1040</v>
      </c>
      <c r="J61" s="6">
        <f>VLOOKUP($B61, CodeMinutesTable[[Code]:[Minutes]], 3, FALSE) * VLOOKUP(J$1, ProviderRatesTable[], 3, FALSE)</f>
        <v>953.33333333333326</v>
      </c>
      <c r="K61" s="6">
        <f>VLOOKUP($B61, CodeMinutesTable[[Code]:[Minutes]], 3, FALSE) * VLOOKUP(K$1, ProviderRatesTable[], 3, FALSE)</f>
        <v>866.66666666666674</v>
      </c>
      <c r="L61" s="6">
        <f>VLOOKUP($B61, CodeMinutesTable[[Code]:[Minutes]], 3, FALSE) * VLOOKUP(L$1, ProviderRatesTable[], 3, FALSE)</f>
        <v>780</v>
      </c>
      <c r="M61" s="6">
        <f>VLOOKUP($B61, CodeMinutesTable[[Code]:[Minutes]], 3, FALSE) * VLOOKUP(M$1, ProviderRatesTable[], 3, FALSE)</f>
        <v>693.33333333333337</v>
      </c>
      <c r="N61" s="6">
        <f>VLOOKUP($B61, CodeMinutesTable[[Code]:[Minutes]], 3, FALSE) * VLOOKUP(N$1, ProviderRatesTable[], 3, FALSE)</f>
        <v>606.66666666666663</v>
      </c>
      <c r="O61" s="6">
        <f>VLOOKUP($B61, CodeMinutesTable[[Code]:[Minutes]], 3, FALSE) * VLOOKUP(O$1, ProviderRatesTable[], 3, FALSE)</f>
        <v>520</v>
      </c>
      <c r="P61" s="6">
        <f>VLOOKUP($B61, CodeMinutesTable[[Code]:[Minutes]], 3, FALSE) * VLOOKUP(P$1, ProviderRatesTable[], 3, FALSE)</f>
        <v>346.66666666666669</v>
      </c>
      <c r="Q61" s="6">
        <f>VLOOKUP($B61, CodeMinutesTable[[Code]:[Minutes]], 3, FALSE) * VLOOKUP(Q$1, ProviderRatesTable[], 3, FALSE)</f>
        <v>260</v>
      </c>
    </row>
    <row r="62" spans="1:17" x14ac:dyDescent="0.25">
      <c r="A62" s="3" t="str">
        <f>INDEX(CodeMinutesTable[Frequently Used],MATCH(CodeRatesTable[[#This Row],[Billing Code]],CodeMinutesTable[Code],0))</f>
        <v>Yes</v>
      </c>
      <c r="B62" s="3" t="s">
        <v>158</v>
      </c>
      <c r="C62" t="s">
        <v>159</v>
      </c>
      <c r="D62" s="6">
        <f>VLOOKUP($B62, CodeMinutesTable[[Code]:[Minutes]], 3, FALSE) * VLOOKUP(D$1, ProviderRatesTable[], 3, FALSE)</f>
        <v>1898.3333333333333</v>
      </c>
      <c r="E62" s="6">
        <f>VLOOKUP($B62, CodeMinutesTable[[Code]:[Minutes]], 3, FALSE) * VLOOKUP(E$1, ProviderRatesTable[], 3, FALSE)</f>
        <v>1786.6666666666667</v>
      </c>
      <c r="F62" s="6">
        <f>VLOOKUP($B62, CodeMinutesTable[[Code]:[Minutes]], 3, FALSE) * VLOOKUP(F$1, ProviderRatesTable[], 3, FALSE)</f>
        <v>1675</v>
      </c>
      <c r="G62" s="6">
        <f>VLOOKUP($B62, CodeMinutesTable[[Code]:[Minutes]], 3, FALSE) * VLOOKUP(G$1, ProviderRatesTable[], 3, FALSE)</f>
        <v>1563.3333333333333</v>
      </c>
      <c r="H62" s="6">
        <f>VLOOKUP($B62, CodeMinutesTable[[Code]:[Minutes]], 3, FALSE) * VLOOKUP(H$1, ProviderRatesTable[], 3, FALSE)</f>
        <v>1451.6666666666667</v>
      </c>
      <c r="I62" s="6">
        <f>VLOOKUP($B62, CodeMinutesTable[[Code]:[Minutes]], 3, FALSE) * VLOOKUP(I$1, ProviderRatesTable[], 3, FALSE)</f>
        <v>1340</v>
      </c>
      <c r="J62" s="6">
        <f>VLOOKUP($B62, CodeMinutesTable[[Code]:[Minutes]], 3, FALSE) * VLOOKUP(J$1, ProviderRatesTable[], 3, FALSE)</f>
        <v>1228.3333333333333</v>
      </c>
      <c r="K62" s="6">
        <f>VLOOKUP($B62, CodeMinutesTable[[Code]:[Minutes]], 3, FALSE) * VLOOKUP(K$1, ProviderRatesTable[], 3, FALSE)</f>
        <v>1116.6666666666667</v>
      </c>
      <c r="L62" s="6">
        <f>VLOOKUP($B62, CodeMinutesTable[[Code]:[Minutes]], 3, FALSE) * VLOOKUP(L$1, ProviderRatesTable[], 3, FALSE)</f>
        <v>1005</v>
      </c>
      <c r="M62" s="6">
        <f>VLOOKUP($B62, CodeMinutesTable[[Code]:[Minutes]], 3, FALSE) * VLOOKUP(M$1, ProviderRatesTable[], 3, FALSE)</f>
        <v>893.33333333333337</v>
      </c>
      <c r="N62" s="6">
        <f>VLOOKUP($B62, CodeMinutesTable[[Code]:[Minutes]], 3, FALSE) * VLOOKUP(N$1, ProviderRatesTable[], 3, FALSE)</f>
        <v>781.66666666666663</v>
      </c>
      <c r="O62" s="6">
        <f>VLOOKUP($B62, CodeMinutesTable[[Code]:[Minutes]], 3, FALSE) * VLOOKUP(O$1, ProviderRatesTable[], 3, FALSE)</f>
        <v>670</v>
      </c>
      <c r="P62" s="6">
        <f>VLOOKUP($B62, CodeMinutesTable[[Code]:[Minutes]], 3, FALSE) * VLOOKUP(P$1, ProviderRatesTable[], 3, FALSE)</f>
        <v>446.66666666666669</v>
      </c>
      <c r="Q62" s="6">
        <f>VLOOKUP($B62, CodeMinutesTable[[Code]:[Minutes]], 3, FALSE) * VLOOKUP(Q$1, ProviderRatesTable[], 3, FALSE)</f>
        <v>335</v>
      </c>
    </row>
    <row r="63" spans="1:17" x14ac:dyDescent="0.25">
      <c r="A63" s="3" t="str">
        <f>INDEX(CodeMinutesTable[Frequently Used],MATCH(CodeRatesTable[[#This Row],[Billing Code]],CodeMinutesTable[Code],0))</f>
        <v>Yes</v>
      </c>
      <c r="B63" s="3" t="s">
        <v>160</v>
      </c>
      <c r="C63" t="s">
        <v>161</v>
      </c>
      <c r="D63" s="6">
        <f>VLOOKUP($B63, CodeMinutesTable[[Code]:[Minutes]], 3, FALSE) * VLOOKUP(D$1, ProviderRatesTable[], 3, FALSE)</f>
        <v>425</v>
      </c>
      <c r="E63" s="6">
        <f>VLOOKUP($B63, CodeMinutesTable[[Code]:[Minutes]], 3, FALSE) * VLOOKUP(E$1, ProviderRatesTable[], 3, FALSE)</f>
        <v>400</v>
      </c>
      <c r="F63" s="6">
        <f>VLOOKUP($B63, CodeMinutesTable[[Code]:[Minutes]], 3, FALSE) * VLOOKUP(F$1, ProviderRatesTable[], 3, FALSE)</f>
        <v>375</v>
      </c>
      <c r="G63" s="6">
        <f>VLOOKUP($B63, CodeMinutesTable[[Code]:[Minutes]], 3, FALSE) * VLOOKUP(G$1, ProviderRatesTable[], 3, FALSE)</f>
        <v>350</v>
      </c>
      <c r="H63" s="6">
        <f>VLOOKUP($B63, CodeMinutesTable[[Code]:[Minutes]], 3, FALSE) * VLOOKUP(H$1, ProviderRatesTable[], 3, FALSE)</f>
        <v>325</v>
      </c>
      <c r="I63" s="6">
        <f>VLOOKUP($B63, CodeMinutesTable[[Code]:[Minutes]], 3, FALSE) * VLOOKUP(I$1, ProviderRatesTable[], 3, FALSE)</f>
        <v>300</v>
      </c>
      <c r="J63" s="6">
        <f>VLOOKUP($B63, CodeMinutesTable[[Code]:[Minutes]], 3, FALSE) * VLOOKUP(J$1, ProviderRatesTable[], 3, FALSE)</f>
        <v>275</v>
      </c>
      <c r="K63" s="6">
        <f>VLOOKUP($B63, CodeMinutesTable[[Code]:[Minutes]], 3, FALSE) * VLOOKUP(K$1, ProviderRatesTable[], 3, FALSE)</f>
        <v>250.00000000000003</v>
      </c>
      <c r="L63" s="6">
        <f>VLOOKUP($B63, CodeMinutesTable[[Code]:[Minutes]], 3, FALSE) * VLOOKUP(L$1, ProviderRatesTable[], 3, FALSE)</f>
        <v>225</v>
      </c>
      <c r="M63" s="6">
        <f>VLOOKUP($B63, CodeMinutesTable[[Code]:[Minutes]], 3, FALSE) * VLOOKUP(M$1, ProviderRatesTable[], 3, FALSE)</f>
        <v>200</v>
      </c>
      <c r="N63" s="6">
        <f>VLOOKUP($B63, CodeMinutesTable[[Code]:[Minutes]], 3, FALSE) * VLOOKUP(N$1, ProviderRatesTable[], 3, FALSE)</f>
        <v>175</v>
      </c>
      <c r="O63" s="6">
        <f>VLOOKUP($B63, CodeMinutesTable[[Code]:[Minutes]], 3, FALSE) * VLOOKUP(O$1, ProviderRatesTable[], 3, FALSE)</f>
        <v>150</v>
      </c>
      <c r="P63" s="6">
        <f>VLOOKUP($B63, CodeMinutesTable[[Code]:[Minutes]], 3, FALSE) * VLOOKUP(P$1, ProviderRatesTable[], 3, FALSE)</f>
        <v>100</v>
      </c>
      <c r="Q63" s="6">
        <f>VLOOKUP($B63, CodeMinutesTable[[Code]:[Minutes]], 3, FALSE) * VLOOKUP(Q$1, ProviderRatesTable[], 3, FALSE)</f>
        <v>75</v>
      </c>
    </row>
    <row r="64" spans="1:17" x14ac:dyDescent="0.25">
      <c r="A64" s="3" t="str">
        <f>INDEX(CodeMinutesTable[Frequently Used],MATCH(CodeRatesTable[[#This Row],[Billing Code]],CodeMinutesTable[Code],0))</f>
        <v>Yes</v>
      </c>
      <c r="B64" s="3" t="s">
        <v>162</v>
      </c>
      <c r="C64" t="s">
        <v>163</v>
      </c>
      <c r="D64" s="6">
        <f>VLOOKUP($B64, CodeMinutesTable[[Code]:[Minutes]], 3, FALSE) * VLOOKUP(D$1, ProviderRatesTable[], 3, FALSE)</f>
        <v>708.33333333333326</v>
      </c>
      <c r="E64" s="6">
        <f>VLOOKUP($B64, CodeMinutesTable[[Code]:[Minutes]], 3, FALSE) * VLOOKUP(E$1, ProviderRatesTable[], 3, FALSE)</f>
        <v>666.66666666666674</v>
      </c>
      <c r="F64" s="6">
        <f>VLOOKUP($B64, CodeMinutesTable[[Code]:[Minutes]], 3, FALSE) * VLOOKUP(F$1, ProviderRatesTable[], 3, FALSE)</f>
        <v>625</v>
      </c>
      <c r="G64" s="6">
        <f>VLOOKUP($B64, CodeMinutesTable[[Code]:[Minutes]], 3, FALSE) * VLOOKUP(G$1, ProviderRatesTable[], 3, FALSE)</f>
        <v>583.33333333333326</v>
      </c>
      <c r="H64" s="6">
        <f>VLOOKUP($B64, CodeMinutesTable[[Code]:[Minutes]], 3, FALSE) * VLOOKUP(H$1, ProviderRatesTable[], 3, FALSE)</f>
        <v>541.66666666666674</v>
      </c>
      <c r="I64" s="6">
        <f>VLOOKUP($B64, CodeMinutesTable[[Code]:[Minutes]], 3, FALSE) * VLOOKUP(I$1, ProviderRatesTable[], 3, FALSE)</f>
        <v>500</v>
      </c>
      <c r="J64" s="6">
        <f>VLOOKUP($B64, CodeMinutesTable[[Code]:[Minutes]], 3, FALSE) * VLOOKUP(J$1, ProviderRatesTable[], 3, FALSE)</f>
        <v>458.33333333333331</v>
      </c>
      <c r="K64" s="6">
        <f>VLOOKUP($B64, CodeMinutesTable[[Code]:[Minutes]], 3, FALSE) * VLOOKUP(K$1, ProviderRatesTable[], 3, FALSE)</f>
        <v>416.66666666666669</v>
      </c>
      <c r="L64" s="6">
        <f>VLOOKUP($B64, CodeMinutesTable[[Code]:[Minutes]], 3, FALSE) * VLOOKUP(L$1, ProviderRatesTable[], 3, FALSE)</f>
        <v>375</v>
      </c>
      <c r="M64" s="6">
        <f>VLOOKUP($B64, CodeMinutesTable[[Code]:[Minutes]], 3, FALSE) * VLOOKUP(M$1, ProviderRatesTable[], 3, FALSE)</f>
        <v>333.33333333333337</v>
      </c>
      <c r="N64" s="6">
        <f>VLOOKUP($B64, CodeMinutesTable[[Code]:[Minutes]], 3, FALSE) * VLOOKUP(N$1, ProviderRatesTable[], 3, FALSE)</f>
        <v>291.66666666666663</v>
      </c>
      <c r="O64" s="6">
        <f>VLOOKUP($B64, CodeMinutesTable[[Code]:[Minutes]], 3, FALSE) * VLOOKUP(O$1, ProviderRatesTable[], 3, FALSE)</f>
        <v>250</v>
      </c>
      <c r="P64" s="6">
        <f>VLOOKUP($B64, CodeMinutesTable[[Code]:[Minutes]], 3, FALSE) * VLOOKUP(P$1, ProviderRatesTable[], 3, FALSE)</f>
        <v>166.66666666666669</v>
      </c>
      <c r="Q64" s="6">
        <f>VLOOKUP($B64, CodeMinutesTable[[Code]:[Minutes]], 3, FALSE) * VLOOKUP(Q$1, ProviderRatesTable[], 3, FALSE)</f>
        <v>125</v>
      </c>
    </row>
    <row r="65" spans="1:17" x14ac:dyDescent="0.25">
      <c r="A65" s="3" t="str">
        <f>INDEX(CodeMinutesTable[Frequently Used],MATCH(CodeRatesTable[[#This Row],[Billing Code]],CodeMinutesTable[Code],0))</f>
        <v>Yes</v>
      </c>
      <c r="B65" s="3" t="s">
        <v>164</v>
      </c>
      <c r="C65" t="s">
        <v>165</v>
      </c>
      <c r="D65" s="6">
        <f>VLOOKUP($B65, CodeMinutesTable[[Code]:[Minutes]], 3, FALSE) * VLOOKUP(D$1, ProviderRatesTable[], 3, FALSE)</f>
        <v>991.66666666666663</v>
      </c>
      <c r="E65" s="6">
        <f>VLOOKUP($B65, CodeMinutesTable[[Code]:[Minutes]], 3, FALSE) * VLOOKUP(E$1, ProviderRatesTable[], 3, FALSE)</f>
        <v>933.33333333333337</v>
      </c>
      <c r="F65" s="6">
        <f>VLOOKUP($B65, CodeMinutesTable[[Code]:[Minutes]], 3, FALSE) * VLOOKUP(F$1, ProviderRatesTable[], 3, FALSE)</f>
        <v>875</v>
      </c>
      <c r="G65" s="6">
        <f>VLOOKUP($B65, CodeMinutesTable[[Code]:[Minutes]], 3, FALSE) * VLOOKUP(G$1, ProviderRatesTable[], 3, FALSE)</f>
        <v>816.66666666666663</v>
      </c>
      <c r="H65" s="6">
        <f>VLOOKUP($B65, CodeMinutesTable[[Code]:[Minutes]], 3, FALSE) * VLOOKUP(H$1, ProviderRatesTable[], 3, FALSE)</f>
        <v>758.33333333333337</v>
      </c>
      <c r="I65" s="6">
        <f>VLOOKUP($B65, CodeMinutesTable[[Code]:[Minutes]], 3, FALSE) * VLOOKUP(I$1, ProviderRatesTable[], 3, FALSE)</f>
        <v>700</v>
      </c>
      <c r="J65" s="6">
        <f>VLOOKUP($B65, CodeMinutesTable[[Code]:[Minutes]], 3, FALSE) * VLOOKUP(J$1, ProviderRatesTable[], 3, FALSE)</f>
        <v>641.66666666666663</v>
      </c>
      <c r="K65" s="6">
        <f>VLOOKUP($B65, CodeMinutesTable[[Code]:[Minutes]], 3, FALSE) * VLOOKUP(K$1, ProviderRatesTable[], 3, FALSE)</f>
        <v>583.33333333333337</v>
      </c>
      <c r="L65" s="6">
        <f>VLOOKUP($B65, CodeMinutesTable[[Code]:[Minutes]], 3, FALSE) * VLOOKUP(L$1, ProviderRatesTable[], 3, FALSE)</f>
        <v>525</v>
      </c>
      <c r="M65" s="6">
        <f>VLOOKUP($B65, CodeMinutesTable[[Code]:[Minutes]], 3, FALSE) * VLOOKUP(M$1, ProviderRatesTable[], 3, FALSE)</f>
        <v>466.66666666666669</v>
      </c>
      <c r="N65" s="6">
        <f>VLOOKUP($B65, CodeMinutesTable[[Code]:[Minutes]], 3, FALSE) * VLOOKUP(N$1, ProviderRatesTable[], 3, FALSE)</f>
        <v>408.33333333333331</v>
      </c>
      <c r="O65" s="6">
        <f>VLOOKUP($B65, CodeMinutesTable[[Code]:[Minutes]], 3, FALSE) * VLOOKUP(O$1, ProviderRatesTable[], 3, FALSE)</f>
        <v>350</v>
      </c>
      <c r="P65" s="6">
        <f>VLOOKUP($B65, CodeMinutesTable[[Code]:[Minutes]], 3, FALSE) * VLOOKUP(P$1, ProviderRatesTable[], 3, FALSE)</f>
        <v>233.33333333333334</v>
      </c>
      <c r="Q65" s="6">
        <f>VLOOKUP($B65, CodeMinutesTable[[Code]:[Minutes]], 3, FALSE) * VLOOKUP(Q$1, ProviderRatesTable[], 3, FALSE)</f>
        <v>175</v>
      </c>
    </row>
    <row r="66" spans="1:17" x14ac:dyDescent="0.25">
      <c r="A66" s="3" t="str">
        <f>INDEX(CodeMinutesTable[Frequently Used],MATCH(CodeRatesTable[[#This Row],[Billing Code]],CodeMinutesTable[Code],0))</f>
        <v>Yes</v>
      </c>
      <c r="B66" s="3" t="s">
        <v>166</v>
      </c>
      <c r="C66" t="s">
        <v>167</v>
      </c>
      <c r="D66" s="6">
        <f>VLOOKUP($B66, CodeMinutesTable[[Code]:[Minutes]], 3, FALSE) * VLOOKUP(D$1, ProviderRatesTable[], 3, FALSE)</f>
        <v>1331.6666666666665</v>
      </c>
      <c r="E66" s="6">
        <f>VLOOKUP($B66, CodeMinutesTable[[Code]:[Minutes]], 3, FALSE) * VLOOKUP(E$1, ProviderRatesTable[], 3, FALSE)</f>
        <v>1253.3333333333335</v>
      </c>
      <c r="F66" s="6">
        <f>VLOOKUP($B66, CodeMinutesTable[[Code]:[Minutes]], 3, FALSE) * VLOOKUP(F$1, ProviderRatesTable[], 3, FALSE)</f>
        <v>1175</v>
      </c>
      <c r="G66" s="6">
        <f>VLOOKUP($B66, CodeMinutesTable[[Code]:[Minutes]], 3, FALSE) * VLOOKUP(G$1, ProviderRatesTable[], 3, FALSE)</f>
        <v>1096.6666666666665</v>
      </c>
      <c r="H66" s="6">
        <f>VLOOKUP($B66, CodeMinutesTable[[Code]:[Minutes]], 3, FALSE) * VLOOKUP(H$1, ProviderRatesTable[], 3, FALSE)</f>
        <v>1018.3333333333334</v>
      </c>
      <c r="I66" s="6">
        <f>VLOOKUP($B66, CodeMinutesTable[[Code]:[Minutes]], 3, FALSE) * VLOOKUP(I$1, ProviderRatesTable[], 3, FALSE)</f>
        <v>940</v>
      </c>
      <c r="J66" s="6">
        <f>VLOOKUP($B66, CodeMinutesTable[[Code]:[Minutes]], 3, FALSE) * VLOOKUP(J$1, ProviderRatesTable[], 3, FALSE)</f>
        <v>861.66666666666663</v>
      </c>
      <c r="K66" s="6">
        <f>VLOOKUP($B66, CodeMinutesTable[[Code]:[Minutes]], 3, FALSE) * VLOOKUP(K$1, ProviderRatesTable[], 3, FALSE)</f>
        <v>783.33333333333337</v>
      </c>
      <c r="L66" s="6">
        <f>VLOOKUP($B66, CodeMinutesTable[[Code]:[Minutes]], 3, FALSE) * VLOOKUP(L$1, ProviderRatesTable[], 3, FALSE)</f>
        <v>705</v>
      </c>
      <c r="M66" s="6">
        <f>VLOOKUP($B66, CodeMinutesTable[[Code]:[Minutes]], 3, FALSE) * VLOOKUP(M$1, ProviderRatesTable[], 3, FALSE)</f>
        <v>626.66666666666674</v>
      </c>
      <c r="N66" s="6">
        <f>VLOOKUP($B66, CodeMinutesTable[[Code]:[Minutes]], 3, FALSE) * VLOOKUP(N$1, ProviderRatesTable[], 3, FALSE)</f>
        <v>548.33333333333326</v>
      </c>
      <c r="O66" s="6">
        <f>VLOOKUP($B66, CodeMinutesTable[[Code]:[Minutes]], 3, FALSE) * VLOOKUP(O$1, ProviderRatesTable[], 3, FALSE)</f>
        <v>470</v>
      </c>
      <c r="P66" s="6">
        <f>VLOOKUP($B66, CodeMinutesTable[[Code]:[Minutes]], 3, FALSE) * VLOOKUP(P$1, ProviderRatesTable[], 3, FALSE)</f>
        <v>313.33333333333337</v>
      </c>
      <c r="Q66" s="6">
        <f>VLOOKUP($B66, CodeMinutesTable[[Code]:[Minutes]], 3, FALSE) * VLOOKUP(Q$1, ProviderRatesTable[], 3, FALSE)</f>
        <v>235</v>
      </c>
    </row>
    <row r="67" spans="1:17" hidden="1" x14ac:dyDescent="0.25">
      <c r="A67" s="3" t="str">
        <f>INDEX(CodeMinutesTable[Frequently Used],MATCH(CodeRatesTable[[#This Row],[Billing Code]],CodeMinutesTable[Code],0))</f>
        <v>No</v>
      </c>
      <c r="B67" s="3" t="s">
        <v>168</v>
      </c>
      <c r="C67" t="s">
        <v>169</v>
      </c>
      <c r="D67" s="6">
        <f>VLOOKUP($B67, CodeMinutesTable[[Code]:[Minutes]], 3, FALSE) * VLOOKUP(D$1, ProviderRatesTable[], 3, FALSE)</f>
        <v>425</v>
      </c>
      <c r="E67" s="6" cm="1">
        <f t="array" ref="E67">_xlfn.XLOOKUP($B67,CodeMinutesTable[[Code]:[Code]],CodeMinutesTable[[Minutes]:[Minutes]]) *_xlfn.XLOOKUP(E$1,'Provider Rates'!$A$2:$A$15,'Provider Rates'!$C$2:$C$15)</f>
        <v>400</v>
      </c>
      <c r="F67" s="6" cm="1">
        <f t="array" ref="F67">_xlfn.XLOOKUP($B67,CodeMinutesTable[[Code]:[Code]],CodeMinutesTable[[Minutes]:[Minutes]]) *_xlfn.XLOOKUP(F$1,'Provider Rates'!$A$2:$A$15,'Provider Rates'!$C$2:$C$15)</f>
        <v>375</v>
      </c>
      <c r="G67" s="6" cm="1">
        <f t="array" ref="G67">_xlfn.XLOOKUP($B67,CodeMinutesTable[[Code]:[Code]],CodeMinutesTable[[Minutes]:[Minutes]]) *_xlfn.XLOOKUP(G$1,'Provider Rates'!$A$2:$A$15,'Provider Rates'!$C$2:$C$15)</f>
        <v>350</v>
      </c>
      <c r="H67" s="6" cm="1">
        <f t="array" ref="H67">_xlfn.XLOOKUP($B67,CodeMinutesTable[[Code]:[Code]],CodeMinutesTable[[Minutes]:[Minutes]]) *_xlfn.XLOOKUP(H$1,'Provider Rates'!$A$2:$A$15,'Provider Rates'!$C$2:$C$15)</f>
        <v>325</v>
      </c>
      <c r="I67" s="6" cm="1">
        <f t="array" ref="I67">_xlfn.XLOOKUP($B67,CodeMinutesTable[[Code]:[Code]],CodeMinutesTable[[Minutes]:[Minutes]]) *_xlfn.XLOOKUP(I$1,'Provider Rates'!$A$2:$A$15,'Provider Rates'!$C$2:$C$15)</f>
        <v>300</v>
      </c>
      <c r="J67" s="6" cm="1">
        <f t="array" ref="J67">_xlfn.XLOOKUP($B67,CodeMinutesTable[[Code]:[Code]],CodeMinutesTable[[Minutes]:[Minutes]]) *_xlfn.XLOOKUP(J$1,'Provider Rates'!$A$2:$A$15,'Provider Rates'!$C$2:$C$15)</f>
        <v>275</v>
      </c>
      <c r="K67" s="6" cm="1">
        <f t="array" ref="K67">_xlfn.XLOOKUP($B67,CodeMinutesTable[[Code]:[Code]],CodeMinutesTable[[Minutes]:[Minutes]]) *_xlfn.XLOOKUP(K$1,'Provider Rates'!$A$2:$A$15,'Provider Rates'!$C$2:$C$15)</f>
        <v>250.00000000000003</v>
      </c>
      <c r="L67" s="6" cm="1">
        <f t="array" ref="L67">_xlfn.XLOOKUP($B67,CodeMinutesTable[[Code]:[Code]],CodeMinutesTable[[Minutes]:[Minutes]]) *_xlfn.XLOOKUP(L$1,'Provider Rates'!$A$2:$A$15,'Provider Rates'!$C$2:$C$15)</f>
        <v>225</v>
      </c>
      <c r="M67" s="6" cm="1">
        <f t="array" ref="M67">_xlfn.XLOOKUP($B67,CodeMinutesTable[[Code]:[Code]],CodeMinutesTable[[Minutes]:[Minutes]]) *_xlfn.XLOOKUP(M$1,'Provider Rates'!$A$2:$A$15,'Provider Rates'!$C$2:$C$15)</f>
        <v>200</v>
      </c>
      <c r="N67" s="6" cm="1">
        <f t="array" ref="N67">_xlfn.XLOOKUP($B67,CodeMinutesTable[[Code]:[Code]],CodeMinutesTable[[Minutes]:[Minutes]]) *_xlfn.XLOOKUP(N$1,'Provider Rates'!$A$2:$A$15,'Provider Rates'!$C$2:$C$15)</f>
        <v>175</v>
      </c>
      <c r="O67" s="6" cm="1">
        <f t="array" ref="O67">_xlfn.XLOOKUP($B67,CodeMinutesTable[[Code]:[Code]],CodeMinutesTable[[Minutes]:[Minutes]]) *_xlfn.XLOOKUP(O$1,'Provider Rates'!$A$2:$A$15,'Provider Rates'!$C$2:$C$15)</f>
        <v>150</v>
      </c>
      <c r="P67" s="6" cm="1">
        <f t="array" ref="P67">_xlfn.XLOOKUP($B67,CodeMinutesTable[[Code]:[Code]],CodeMinutesTable[[Minutes]:[Minutes]]) *_xlfn.XLOOKUP(P$1,'Provider Rates'!$A$2:$A$15,'Provider Rates'!$C$2:$C$15)</f>
        <v>100</v>
      </c>
      <c r="Q67" s="6">
        <f>VLOOKUP($B67, CodeMinutesTable[[Code]:[Minutes]], 3, FALSE) * VLOOKUP(Q$1, ProviderRatesTable[], 3, FALSE)</f>
        <v>75</v>
      </c>
    </row>
    <row r="68" spans="1:17" hidden="1" x14ac:dyDescent="0.25">
      <c r="A68" s="3" t="str">
        <f>INDEX(CodeMinutesTable[Frequently Used],MATCH(CodeRatesTable[[#This Row],[Billing Code]],CodeMinutesTable[Code],0))</f>
        <v>No</v>
      </c>
      <c r="B68" s="3" t="s">
        <v>170</v>
      </c>
      <c r="C68" t="s">
        <v>171</v>
      </c>
      <c r="D68" s="6">
        <f>VLOOKUP($B68, CodeMinutesTable[[Code]:[Minutes]], 3, FALSE) * VLOOKUP(D$1, ProviderRatesTable[], 3, FALSE)</f>
        <v>850</v>
      </c>
      <c r="E68" s="6" cm="1">
        <f t="array" ref="E68">_xlfn.XLOOKUP($B68,CodeMinutesTable[[Code]:[Code]],CodeMinutesTable[[Minutes]:[Minutes]]) *_xlfn.XLOOKUP(E$1,'Provider Rates'!$A$2:$A$15,'Provider Rates'!$C$2:$C$15)</f>
        <v>800</v>
      </c>
      <c r="F68" s="6" cm="1">
        <f t="array" ref="F68">_xlfn.XLOOKUP($B68,CodeMinutesTable[[Code]:[Code]],CodeMinutesTable[[Minutes]:[Minutes]]) *_xlfn.XLOOKUP(F$1,'Provider Rates'!$A$2:$A$15,'Provider Rates'!$C$2:$C$15)</f>
        <v>750</v>
      </c>
      <c r="G68" s="6" cm="1">
        <f t="array" ref="G68">_xlfn.XLOOKUP($B68,CodeMinutesTable[[Code]:[Code]],CodeMinutesTable[[Minutes]:[Minutes]]) *_xlfn.XLOOKUP(G$1,'Provider Rates'!$A$2:$A$15,'Provider Rates'!$C$2:$C$15)</f>
        <v>700</v>
      </c>
      <c r="H68" s="6" cm="1">
        <f t="array" ref="H68">_xlfn.XLOOKUP($B68,CodeMinutesTable[[Code]:[Code]],CodeMinutesTable[[Minutes]:[Minutes]]) *_xlfn.XLOOKUP(H$1,'Provider Rates'!$A$2:$A$15,'Provider Rates'!$C$2:$C$15)</f>
        <v>650</v>
      </c>
      <c r="I68" s="6" cm="1">
        <f t="array" ref="I68">_xlfn.XLOOKUP($B68,CodeMinutesTable[[Code]:[Code]],CodeMinutesTable[[Minutes]:[Minutes]]) *_xlfn.XLOOKUP(I$1,'Provider Rates'!$A$2:$A$15,'Provider Rates'!$C$2:$C$15)</f>
        <v>600</v>
      </c>
      <c r="J68" s="6" cm="1">
        <f t="array" ref="J68">_xlfn.XLOOKUP($B68,CodeMinutesTable[[Code]:[Code]],CodeMinutesTable[[Minutes]:[Minutes]]) *_xlfn.XLOOKUP(J$1,'Provider Rates'!$A$2:$A$15,'Provider Rates'!$C$2:$C$15)</f>
        <v>550</v>
      </c>
      <c r="K68" s="6" cm="1">
        <f t="array" ref="K68">_xlfn.XLOOKUP($B68,CodeMinutesTable[[Code]:[Code]],CodeMinutesTable[[Minutes]:[Minutes]]) *_xlfn.XLOOKUP(K$1,'Provider Rates'!$A$2:$A$15,'Provider Rates'!$C$2:$C$15)</f>
        <v>500.00000000000006</v>
      </c>
      <c r="L68" s="6" cm="1">
        <f t="array" ref="L68">_xlfn.XLOOKUP($B68,CodeMinutesTable[[Code]:[Code]],CodeMinutesTable[[Minutes]:[Minutes]]) *_xlfn.XLOOKUP(L$1,'Provider Rates'!$A$2:$A$15,'Provider Rates'!$C$2:$C$15)</f>
        <v>450</v>
      </c>
      <c r="M68" s="6" cm="1">
        <f t="array" ref="M68">_xlfn.XLOOKUP($B68,CodeMinutesTable[[Code]:[Code]],CodeMinutesTable[[Minutes]:[Minutes]]) *_xlfn.XLOOKUP(M$1,'Provider Rates'!$A$2:$A$15,'Provider Rates'!$C$2:$C$15)</f>
        <v>400</v>
      </c>
      <c r="N68" s="6" cm="1">
        <f t="array" ref="N68">_xlfn.XLOOKUP($B68,CodeMinutesTable[[Code]:[Code]],CodeMinutesTable[[Minutes]:[Minutes]]) *_xlfn.XLOOKUP(N$1,'Provider Rates'!$A$2:$A$15,'Provider Rates'!$C$2:$C$15)</f>
        <v>350</v>
      </c>
      <c r="O68" s="6" cm="1">
        <f t="array" ref="O68">_xlfn.XLOOKUP($B68,CodeMinutesTable[[Code]:[Code]],CodeMinutesTable[[Minutes]:[Minutes]]) *_xlfn.XLOOKUP(O$1,'Provider Rates'!$A$2:$A$15,'Provider Rates'!$C$2:$C$15)</f>
        <v>300</v>
      </c>
      <c r="P68" s="6" cm="1">
        <f t="array" ref="P68">_xlfn.XLOOKUP($B68,CodeMinutesTable[[Code]:[Code]],CodeMinutesTable[[Minutes]:[Minutes]]) *_xlfn.XLOOKUP(P$1,'Provider Rates'!$A$2:$A$15,'Provider Rates'!$C$2:$C$15)</f>
        <v>200</v>
      </c>
      <c r="Q68" s="6">
        <f>VLOOKUP($B68, CodeMinutesTable[[Code]:[Minutes]], 3, FALSE) * VLOOKUP(Q$1, ProviderRatesTable[], 3, FALSE)</f>
        <v>150</v>
      </c>
    </row>
    <row r="69" spans="1:17" hidden="1" x14ac:dyDescent="0.25">
      <c r="A69" s="3" t="str">
        <f>INDEX(CodeMinutesTable[Frequently Used],MATCH(CodeRatesTable[[#This Row],[Billing Code]],CodeMinutesTable[Code],0))</f>
        <v>No</v>
      </c>
      <c r="B69" s="3" t="s">
        <v>172</v>
      </c>
      <c r="C69" t="s">
        <v>173</v>
      </c>
      <c r="D69" s="6">
        <f>VLOOKUP($B69, CodeMinutesTable[[Code]:[Minutes]], 3, FALSE) * VLOOKUP(D$1, ProviderRatesTable[], 3, FALSE)</f>
        <v>1416.6666666666665</v>
      </c>
      <c r="E69" s="6" cm="1">
        <f t="array" ref="E69">_xlfn.XLOOKUP($B69,CodeMinutesTable[[Code]:[Code]],CodeMinutesTable[[Minutes]:[Minutes]]) *_xlfn.XLOOKUP(E$1,'Provider Rates'!$A$2:$A$15,'Provider Rates'!$C$2:$C$15)</f>
        <v>1333.3333333333335</v>
      </c>
      <c r="F69" s="6" cm="1">
        <f t="array" ref="F69">_xlfn.XLOOKUP($B69,CodeMinutesTable[[Code]:[Code]],CodeMinutesTable[[Minutes]:[Minutes]]) *_xlfn.XLOOKUP(F$1,'Provider Rates'!$A$2:$A$15,'Provider Rates'!$C$2:$C$15)</f>
        <v>1250</v>
      </c>
      <c r="G69" s="6" cm="1">
        <f t="array" ref="G69">_xlfn.XLOOKUP($B69,CodeMinutesTable[[Code]:[Code]],CodeMinutesTable[[Minutes]:[Minutes]]) *_xlfn.XLOOKUP(G$1,'Provider Rates'!$A$2:$A$15,'Provider Rates'!$C$2:$C$15)</f>
        <v>1166.6666666666665</v>
      </c>
      <c r="H69" s="6" cm="1">
        <f t="array" ref="H69">_xlfn.XLOOKUP($B69,CodeMinutesTable[[Code]:[Code]],CodeMinutesTable[[Minutes]:[Minutes]]) *_xlfn.XLOOKUP(H$1,'Provider Rates'!$A$2:$A$15,'Provider Rates'!$C$2:$C$15)</f>
        <v>1083.3333333333335</v>
      </c>
      <c r="I69" s="6" cm="1">
        <f t="array" ref="I69">_xlfn.XLOOKUP($B69,CodeMinutesTable[[Code]:[Code]],CodeMinutesTable[[Minutes]:[Minutes]]) *_xlfn.XLOOKUP(I$1,'Provider Rates'!$A$2:$A$15,'Provider Rates'!$C$2:$C$15)</f>
        <v>1000</v>
      </c>
      <c r="J69" s="6" cm="1">
        <f t="array" ref="J69">_xlfn.XLOOKUP($B69,CodeMinutesTable[[Code]:[Code]],CodeMinutesTable[[Minutes]:[Minutes]]) *_xlfn.XLOOKUP(J$1,'Provider Rates'!$A$2:$A$15,'Provider Rates'!$C$2:$C$15)</f>
        <v>916.66666666666663</v>
      </c>
      <c r="K69" s="6" cm="1">
        <f t="array" ref="K69">_xlfn.XLOOKUP($B69,CodeMinutesTable[[Code]:[Code]],CodeMinutesTable[[Minutes]:[Minutes]]) *_xlfn.XLOOKUP(K$1,'Provider Rates'!$A$2:$A$15,'Provider Rates'!$C$2:$C$15)</f>
        <v>833.33333333333337</v>
      </c>
      <c r="L69" s="6" cm="1">
        <f t="array" ref="L69">_xlfn.XLOOKUP($B69,CodeMinutesTable[[Code]:[Code]],CodeMinutesTable[[Minutes]:[Minutes]]) *_xlfn.XLOOKUP(L$1,'Provider Rates'!$A$2:$A$15,'Provider Rates'!$C$2:$C$15)</f>
        <v>750</v>
      </c>
      <c r="M69" s="6" cm="1">
        <f t="array" ref="M69">_xlfn.XLOOKUP($B69,CodeMinutesTable[[Code]:[Code]],CodeMinutesTable[[Minutes]:[Minutes]]) *_xlfn.XLOOKUP(M$1,'Provider Rates'!$A$2:$A$15,'Provider Rates'!$C$2:$C$15)</f>
        <v>666.66666666666674</v>
      </c>
      <c r="N69" s="6" cm="1">
        <f t="array" ref="N69">_xlfn.XLOOKUP($B69,CodeMinutesTable[[Code]:[Code]],CodeMinutesTable[[Minutes]:[Minutes]]) *_xlfn.XLOOKUP(N$1,'Provider Rates'!$A$2:$A$15,'Provider Rates'!$C$2:$C$15)</f>
        <v>583.33333333333326</v>
      </c>
      <c r="O69" s="6" cm="1">
        <f t="array" ref="O69">_xlfn.XLOOKUP($B69,CodeMinutesTable[[Code]:[Code]],CodeMinutesTable[[Minutes]:[Minutes]]) *_xlfn.XLOOKUP(O$1,'Provider Rates'!$A$2:$A$15,'Provider Rates'!$C$2:$C$15)</f>
        <v>500</v>
      </c>
      <c r="P69" s="6" cm="1">
        <f t="array" ref="P69">_xlfn.XLOOKUP($B69,CodeMinutesTable[[Code]:[Code]],CodeMinutesTable[[Minutes]:[Minutes]]) *_xlfn.XLOOKUP(P$1,'Provider Rates'!$A$2:$A$15,'Provider Rates'!$C$2:$C$15)</f>
        <v>333.33333333333337</v>
      </c>
      <c r="Q69" s="6">
        <f>VLOOKUP($B69, CodeMinutesTable[[Code]:[Minutes]], 3, FALSE) * VLOOKUP(Q$1, ProviderRatesTable[], 3, FALSE)</f>
        <v>250</v>
      </c>
    </row>
    <row r="70" spans="1:17" hidden="1" x14ac:dyDescent="0.25">
      <c r="A70" s="3" t="str">
        <f>INDEX(CodeMinutesTable[Frequently Used],MATCH(CodeRatesTable[[#This Row],[Billing Code]],CodeMinutesTable[Code],0))</f>
        <v>No</v>
      </c>
      <c r="B70" s="3" t="s">
        <v>174</v>
      </c>
      <c r="C70" t="s">
        <v>175</v>
      </c>
      <c r="D70" s="6">
        <f>VLOOKUP($B70, CodeMinutesTable[[Code]:[Minutes]], 3, FALSE) * VLOOKUP(D$1, ProviderRatesTable[], 3, FALSE)</f>
        <v>1983.3333333333333</v>
      </c>
      <c r="E70" s="6" cm="1">
        <f t="array" ref="E70">_xlfn.XLOOKUP($B70,CodeMinutesTable[[Code]:[Code]],CodeMinutesTable[[Minutes]:[Minutes]]) *_xlfn.XLOOKUP(E$1,'Provider Rates'!$A$2:$A$15,'Provider Rates'!$C$2:$C$15)</f>
        <v>1866.6666666666667</v>
      </c>
      <c r="F70" s="6" cm="1">
        <f t="array" ref="F70">_xlfn.XLOOKUP($B70,CodeMinutesTable[[Code]:[Code]],CodeMinutesTable[[Minutes]:[Minutes]]) *_xlfn.XLOOKUP(F$1,'Provider Rates'!$A$2:$A$15,'Provider Rates'!$C$2:$C$15)</f>
        <v>1750</v>
      </c>
      <c r="G70" s="6" cm="1">
        <f t="array" ref="G70">_xlfn.XLOOKUP($B70,CodeMinutesTable[[Code]:[Code]],CodeMinutesTable[[Minutes]:[Minutes]]) *_xlfn.XLOOKUP(G$1,'Provider Rates'!$A$2:$A$15,'Provider Rates'!$C$2:$C$15)</f>
        <v>1633.3333333333333</v>
      </c>
      <c r="H70" s="6" cm="1">
        <f t="array" ref="H70">_xlfn.XLOOKUP($B70,CodeMinutesTable[[Code]:[Code]],CodeMinutesTable[[Minutes]:[Minutes]]) *_xlfn.XLOOKUP(H$1,'Provider Rates'!$A$2:$A$15,'Provider Rates'!$C$2:$C$15)</f>
        <v>1516.6666666666667</v>
      </c>
      <c r="I70" s="6" cm="1">
        <f t="array" ref="I70">_xlfn.XLOOKUP($B70,CodeMinutesTable[[Code]:[Code]],CodeMinutesTable[[Minutes]:[Minutes]]) *_xlfn.XLOOKUP(I$1,'Provider Rates'!$A$2:$A$15,'Provider Rates'!$C$2:$C$15)</f>
        <v>1400</v>
      </c>
      <c r="J70" s="6" cm="1">
        <f t="array" ref="J70">_xlfn.XLOOKUP($B70,CodeMinutesTable[[Code]:[Code]],CodeMinutesTable[[Minutes]:[Minutes]]) *_xlfn.XLOOKUP(J$1,'Provider Rates'!$A$2:$A$15,'Provider Rates'!$C$2:$C$15)</f>
        <v>1283.3333333333333</v>
      </c>
      <c r="K70" s="6" cm="1">
        <f t="array" ref="K70">_xlfn.XLOOKUP($B70,CodeMinutesTable[[Code]:[Code]],CodeMinutesTable[[Minutes]:[Minutes]]) *_xlfn.XLOOKUP(K$1,'Provider Rates'!$A$2:$A$15,'Provider Rates'!$C$2:$C$15)</f>
        <v>1166.6666666666667</v>
      </c>
      <c r="L70" s="6" cm="1">
        <f t="array" ref="L70">_xlfn.XLOOKUP($B70,CodeMinutesTable[[Code]:[Code]],CodeMinutesTable[[Minutes]:[Minutes]]) *_xlfn.XLOOKUP(L$1,'Provider Rates'!$A$2:$A$15,'Provider Rates'!$C$2:$C$15)</f>
        <v>1050</v>
      </c>
      <c r="M70" s="6" cm="1">
        <f t="array" ref="M70">_xlfn.XLOOKUP($B70,CodeMinutesTable[[Code]:[Code]],CodeMinutesTable[[Minutes]:[Minutes]]) *_xlfn.XLOOKUP(M$1,'Provider Rates'!$A$2:$A$15,'Provider Rates'!$C$2:$C$15)</f>
        <v>933.33333333333337</v>
      </c>
      <c r="N70" s="6" cm="1">
        <f t="array" ref="N70">_xlfn.XLOOKUP($B70,CodeMinutesTable[[Code]:[Code]],CodeMinutesTable[[Minutes]:[Minutes]]) *_xlfn.XLOOKUP(N$1,'Provider Rates'!$A$2:$A$15,'Provider Rates'!$C$2:$C$15)</f>
        <v>816.66666666666663</v>
      </c>
      <c r="O70" s="6" cm="1">
        <f t="array" ref="O70">_xlfn.XLOOKUP($B70,CodeMinutesTable[[Code]:[Code]],CodeMinutesTable[[Minutes]:[Minutes]]) *_xlfn.XLOOKUP(O$1,'Provider Rates'!$A$2:$A$15,'Provider Rates'!$C$2:$C$15)</f>
        <v>700</v>
      </c>
      <c r="P70" s="6" cm="1">
        <f t="array" ref="P70">_xlfn.XLOOKUP($B70,CodeMinutesTable[[Code]:[Code]],CodeMinutesTable[[Minutes]:[Minutes]]) *_xlfn.XLOOKUP(P$1,'Provider Rates'!$A$2:$A$15,'Provider Rates'!$C$2:$C$15)</f>
        <v>466.66666666666669</v>
      </c>
      <c r="Q70" s="6">
        <f>VLOOKUP($B70, CodeMinutesTable[[Code]:[Minutes]], 3, FALSE) * VLOOKUP(Q$1, ProviderRatesTable[], 3, FALSE)</f>
        <v>350</v>
      </c>
    </row>
    <row r="71" spans="1:17" hidden="1" x14ac:dyDescent="0.25">
      <c r="A71" s="3" t="str">
        <f>INDEX(CodeMinutesTable[Frequently Used],MATCH(CodeRatesTable[[#This Row],[Billing Code]],CodeMinutesTable[Code],0))</f>
        <v>No</v>
      </c>
      <c r="B71" s="3" t="s">
        <v>176</v>
      </c>
      <c r="C71" t="s">
        <v>177</v>
      </c>
      <c r="D71" s="6">
        <f>VLOOKUP($B71, CodeMinutesTable[[Code]:[Minutes]], 3, FALSE) * VLOOKUP(D$1, ProviderRatesTable[], 3, FALSE)</f>
        <v>850</v>
      </c>
      <c r="E71" s="6" cm="1">
        <f t="array" ref="E71">_xlfn.XLOOKUP($B71,CodeMinutesTable[[Code]:[Code]],CodeMinutesTable[[Minutes]:[Minutes]]) *_xlfn.XLOOKUP(E$1,'Provider Rates'!$A$2:$A$15,'Provider Rates'!$C$2:$C$15)</f>
        <v>800</v>
      </c>
      <c r="F71" s="6" cm="1">
        <f t="array" ref="F71">_xlfn.XLOOKUP($B71,CodeMinutesTable[[Code]:[Code]],CodeMinutesTable[[Minutes]:[Minutes]]) *_xlfn.XLOOKUP(F$1,'Provider Rates'!$A$2:$A$15,'Provider Rates'!$C$2:$C$15)</f>
        <v>750</v>
      </c>
      <c r="G71" s="6" cm="1">
        <f t="array" ref="G71">_xlfn.XLOOKUP($B71,CodeMinutesTable[[Code]:[Code]],CodeMinutesTable[[Minutes]:[Minutes]]) *_xlfn.XLOOKUP(G$1,'Provider Rates'!$A$2:$A$15,'Provider Rates'!$C$2:$C$15)</f>
        <v>700</v>
      </c>
      <c r="H71" s="6" cm="1">
        <f t="array" ref="H71">_xlfn.XLOOKUP($B71,CodeMinutesTable[[Code]:[Code]],CodeMinutesTable[[Minutes]:[Minutes]]) *_xlfn.XLOOKUP(H$1,'Provider Rates'!$A$2:$A$15,'Provider Rates'!$C$2:$C$15)</f>
        <v>650</v>
      </c>
      <c r="I71" s="6" cm="1">
        <f t="array" ref="I71">_xlfn.XLOOKUP($B71,CodeMinutesTable[[Code]:[Code]],CodeMinutesTable[[Minutes]:[Minutes]]) *_xlfn.XLOOKUP(I$1,'Provider Rates'!$A$2:$A$15,'Provider Rates'!$C$2:$C$15)</f>
        <v>600</v>
      </c>
      <c r="J71" s="6" cm="1">
        <f t="array" ref="J71">_xlfn.XLOOKUP($B71,CodeMinutesTable[[Code]:[Code]],CodeMinutesTable[[Minutes]:[Minutes]]) *_xlfn.XLOOKUP(J$1,'Provider Rates'!$A$2:$A$15,'Provider Rates'!$C$2:$C$15)</f>
        <v>550</v>
      </c>
      <c r="K71" s="6" cm="1">
        <f t="array" ref="K71">_xlfn.XLOOKUP($B71,CodeMinutesTable[[Code]:[Code]],CodeMinutesTable[[Minutes]:[Minutes]]) *_xlfn.XLOOKUP(K$1,'Provider Rates'!$A$2:$A$15,'Provider Rates'!$C$2:$C$15)</f>
        <v>500.00000000000006</v>
      </c>
      <c r="L71" s="6" cm="1">
        <f t="array" ref="L71">_xlfn.XLOOKUP($B71,CodeMinutesTable[[Code]:[Code]],CodeMinutesTable[[Minutes]:[Minutes]]) *_xlfn.XLOOKUP(L$1,'Provider Rates'!$A$2:$A$15,'Provider Rates'!$C$2:$C$15)</f>
        <v>450</v>
      </c>
      <c r="M71" s="6" cm="1">
        <f t="array" ref="M71">_xlfn.XLOOKUP($B71,CodeMinutesTable[[Code]:[Code]],CodeMinutesTable[[Minutes]:[Minutes]]) *_xlfn.XLOOKUP(M$1,'Provider Rates'!$A$2:$A$15,'Provider Rates'!$C$2:$C$15)</f>
        <v>400</v>
      </c>
      <c r="N71" s="6" cm="1">
        <f t="array" ref="N71">_xlfn.XLOOKUP($B71,CodeMinutesTable[[Code]:[Code]],CodeMinutesTable[[Minutes]:[Minutes]]) *_xlfn.XLOOKUP(N$1,'Provider Rates'!$A$2:$A$15,'Provider Rates'!$C$2:$C$15)</f>
        <v>350</v>
      </c>
      <c r="O71" s="6" cm="1">
        <f t="array" ref="O71">_xlfn.XLOOKUP($B71,CodeMinutesTable[[Code]:[Code]],CodeMinutesTable[[Minutes]:[Minutes]]) *_xlfn.XLOOKUP(O$1,'Provider Rates'!$A$2:$A$15,'Provider Rates'!$C$2:$C$15)</f>
        <v>300</v>
      </c>
      <c r="P71" s="6" cm="1">
        <f t="array" ref="P71">_xlfn.XLOOKUP($B71,CodeMinutesTable[[Code]:[Code]],CodeMinutesTable[[Minutes]:[Minutes]]) *_xlfn.XLOOKUP(P$1,'Provider Rates'!$A$2:$A$15,'Provider Rates'!$C$2:$C$15)</f>
        <v>200</v>
      </c>
      <c r="Q71" s="6">
        <f>VLOOKUP($B71, CodeMinutesTable[[Code]:[Minutes]], 3, FALSE) * VLOOKUP(Q$1, ProviderRatesTable[], 3, FALSE)</f>
        <v>150</v>
      </c>
    </row>
    <row r="72" spans="1:17" hidden="1" x14ac:dyDescent="0.25">
      <c r="A72" s="3" t="str">
        <f>INDEX(CodeMinutesTable[Frequently Used],MATCH(CodeRatesTable[[#This Row],[Billing Code]],CodeMinutesTable[Code],0))</f>
        <v>No</v>
      </c>
      <c r="B72" s="3" t="s">
        <v>178</v>
      </c>
      <c r="C72" t="s">
        <v>179</v>
      </c>
      <c r="D72" s="6">
        <f>VLOOKUP($B72, CodeMinutesTable[[Code]:[Minutes]], 3, FALSE) * VLOOKUP(D$1, ProviderRatesTable[], 3, FALSE)</f>
        <v>1416.6666666666665</v>
      </c>
      <c r="E72" s="6" cm="1">
        <f t="array" ref="E72">_xlfn.XLOOKUP($B72,CodeMinutesTable[[Code]:[Code]],CodeMinutesTable[[Minutes]:[Minutes]]) *_xlfn.XLOOKUP(E$1,'Provider Rates'!$A$2:$A$15,'Provider Rates'!$C$2:$C$15)</f>
        <v>1333.3333333333335</v>
      </c>
      <c r="F72" s="6" cm="1">
        <f t="array" ref="F72">_xlfn.XLOOKUP($B72,CodeMinutesTable[[Code]:[Code]],CodeMinutesTable[[Minutes]:[Minutes]]) *_xlfn.XLOOKUP(F$1,'Provider Rates'!$A$2:$A$15,'Provider Rates'!$C$2:$C$15)</f>
        <v>1250</v>
      </c>
      <c r="G72" s="6" cm="1">
        <f t="array" ref="G72">_xlfn.XLOOKUP($B72,CodeMinutesTable[[Code]:[Code]],CodeMinutesTable[[Minutes]:[Minutes]]) *_xlfn.XLOOKUP(G$1,'Provider Rates'!$A$2:$A$15,'Provider Rates'!$C$2:$C$15)</f>
        <v>1166.6666666666665</v>
      </c>
      <c r="H72" s="6" cm="1">
        <f t="array" ref="H72">_xlfn.XLOOKUP($B72,CodeMinutesTable[[Code]:[Code]],CodeMinutesTable[[Minutes]:[Minutes]]) *_xlfn.XLOOKUP(H$1,'Provider Rates'!$A$2:$A$15,'Provider Rates'!$C$2:$C$15)</f>
        <v>1083.3333333333335</v>
      </c>
      <c r="I72" s="6" cm="1">
        <f t="array" ref="I72">_xlfn.XLOOKUP($B72,CodeMinutesTable[[Code]:[Code]],CodeMinutesTable[[Minutes]:[Minutes]]) *_xlfn.XLOOKUP(I$1,'Provider Rates'!$A$2:$A$15,'Provider Rates'!$C$2:$C$15)</f>
        <v>1000</v>
      </c>
      <c r="J72" s="6" cm="1">
        <f t="array" ref="J72">_xlfn.XLOOKUP($B72,CodeMinutesTable[[Code]:[Code]],CodeMinutesTable[[Minutes]:[Minutes]]) *_xlfn.XLOOKUP(J$1,'Provider Rates'!$A$2:$A$15,'Provider Rates'!$C$2:$C$15)</f>
        <v>916.66666666666663</v>
      </c>
      <c r="K72" s="6" cm="1">
        <f t="array" ref="K72">_xlfn.XLOOKUP($B72,CodeMinutesTable[[Code]:[Code]],CodeMinutesTable[[Minutes]:[Minutes]]) *_xlfn.XLOOKUP(K$1,'Provider Rates'!$A$2:$A$15,'Provider Rates'!$C$2:$C$15)</f>
        <v>833.33333333333337</v>
      </c>
      <c r="L72" s="6" cm="1">
        <f t="array" ref="L72">_xlfn.XLOOKUP($B72,CodeMinutesTable[[Code]:[Code]],CodeMinutesTable[[Minutes]:[Minutes]]) *_xlfn.XLOOKUP(L$1,'Provider Rates'!$A$2:$A$15,'Provider Rates'!$C$2:$C$15)</f>
        <v>750</v>
      </c>
      <c r="M72" s="6" cm="1">
        <f t="array" ref="M72">_xlfn.XLOOKUP($B72,CodeMinutesTable[[Code]:[Code]],CodeMinutesTable[[Minutes]:[Minutes]]) *_xlfn.XLOOKUP(M$1,'Provider Rates'!$A$2:$A$15,'Provider Rates'!$C$2:$C$15)</f>
        <v>666.66666666666674</v>
      </c>
      <c r="N72" s="6" cm="1">
        <f t="array" ref="N72">_xlfn.XLOOKUP($B72,CodeMinutesTable[[Code]:[Code]],CodeMinutesTable[[Minutes]:[Minutes]]) *_xlfn.XLOOKUP(N$1,'Provider Rates'!$A$2:$A$15,'Provider Rates'!$C$2:$C$15)</f>
        <v>583.33333333333326</v>
      </c>
      <c r="O72" s="6" cm="1">
        <f t="array" ref="O72">_xlfn.XLOOKUP($B72,CodeMinutesTable[[Code]:[Code]],CodeMinutesTable[[Minutes]:[Minutes]]) *_xlfn.XLOOKUP(O$1,'Provider Rates'!$A$2:$A$15,'Provider Rates'!$C$2:$C$15)</f>
        <v>500</v>
      </c>
      <c r="P72" s="6" cm="1">
        <f t="array" ref="P72">_xlfn.XLOOKUP($B72,CodeMinutesTable[[Code]:[Code]],CodeMinutesTable[[Minutes]:[Minutes]]) *_xlfn.XLOOKUP(P$1,'Provider Rates'!$A$2:$A$15,'Provider Rates'!$C$2:$C$15)</f>
        <v>333.33333333333337</v>
      </c>
      <c r="Q72" s="6">
        <f>VLOOKUP($B72, CodeMinutesTable[[Code]:[Minutes]], 3, FALSE) * VLOOKUP(Q$1, ProviderRatesTable[], 3, FALSE)</f>
        <v>250</v>
      </c>
    </row>
    <row r="73" spans="1:17" hidden="1" x14ac:dyDescent="0.25">
      <c r="A73" s="3" t="str">
        <f>INDEX(CodeMinutesTable[Frequently Used],MATCH(CodeRatesTable[[#This Row],[Billing Code]],CodeMinutesTable[Code],0))</f>
        <v>No</v>
      </c>
      <c r="B73" s="3" t="s">
        <v>180</v>
      </c>
      <c r="C73" t="s">
        <v>181</v>
      </c>
      <c r="D73" s="6">
        <f>VLOOKUP($B73, CodeMinutesTable[[Code]:[Minutes]], 3, FALSE) * VLOOKUP(D$1, ProviderRatesTable[], 3, FALSE)</f>
        <v>1983.3333333333333</v>
      </c>
      <c r="E73" s="6" cm="1">
        <f t="array" ref="E73">_xlfn.XLOOKUP($B73,CodeMinutesTable[[Code]:[Code]],CodeMinutesTable[[Minutes]:[Minutes]]) *_xlfn.XLOOKUP(E$1,'Provider Rates'!$A$2:$A$15,'Provider Rates'!$C$2:$C$15)</f>
        <v>1866.6666666666667</v>
      </c>
      <c r="F73" s="6" cm="1">
        <f t="array" ref="F73">_xlfn.XLOOKUP($B73,CodeMinutesTable[[Code]:[Code]],CodeMinutesTable[[Minutes]:[Minutes]]) *_xlfn.XLOOKUP(F$1,'Provider Rates'!$A$2:$A$15,'Provider Rates'!$C$2:$C$15)</f>
        <v>1750</v>
      </c>
      <c r="G73" s="6" cm="1">
        <f t="array" ref="G73">_xlfn.XLOOKUP($B73,CodeMinutesTable[[Code]:[Code]],CodeMinutesTable[[Minutes]:[Minutes]]) *_xlfn.XLOOKUP(G$1,'Provider Rates'!$A$2:$A$15,'Provider Rates'!$C$2:$C$15)</f>
        <v>1633.3333333333333</v>
      </c>
      <c r="H73" s="6" cm="1">
        <f t="array" ref="H73">_xlfn.XLOOKUP($B73,CodeMinutesTable[[Code]:[Code]],CodeMinutesTable[[Minutes]:[Minutes]]) *_xlfn.XLOOKUP(H$1,'Provider Rates'!$A$2:$A$15,'Provider Rates'!$C$2:$C$15)</f>
        <v>1516.6666666666667</v>
      </c>
      <c r="I73" s="6" cm="1">
        <f t="array" ref="I73">_xlfn.XLOOKUP($B73,CodeMinutesTable[[Code]:[Code]],CodeMinutesTable[[Minutes]:[Minutes]]) *_xlfn.XLOOKUP(I$1,'Provider Rates'!$A$2:$A$15,'Provider Rates'!$C$2:$C$15)</f>
        <v>1400</v>
      </c>
      <c r="J73" s="6" cm="1">
        <f t="array" ref="J73">_xlfn.XLOOKUP($B73,CodeMinutesTable[[Code]:[Code]],CodeMinutesTable[[Minutes]:[Minutes]]) *_xlfn.XLOOKUP(J$1,'Provider Rates'!$A$2:$A$15,'Provider Rates'!$C$2:$C$15)</f>
        <v>1283.3333333333333</v>
      </c>
      <c r="K73" s="6" cm="1">
        <f t="array" ref="K73">_xlfn.XLOOKUP($B73,CodeMinutesTable[[Code]:[Code]],CodeMinutesTable[[Minutes]:[Minutes]]) *_xlfn.XLOOKUP(K$1,'Provider Rates'!$A$2:$A$15,'Provider Rates'!$C$2:$C$15)</f>
        <v>1166.6666666666667</v>
      </c>
      <c r="L73" s="6" cm="1">
        <f t="array" ref="L73">_xlfn.XLOOKUP($B73,CodeMinutesTable[[Code]:[Code]],CodeMinutesTable[[Minutes]:[Minutes]]) *_xlfn.XLOOKUP(L$1,'Provider Rates'!$A$2:$A$15,'Provider Rates'!$C$2:$C$15)</f>
        <v>1050</v>
      </c>
      <c r="M73" s="6" cm="1">
        <f t="array" ref="M73">_xlfn.XLOOKUP($B73,CodeMinutesTable[[Code]:[Code]],CodeMinutesTable[[Minutes]:[Minutes]]) *_xlfn.XLOOKUP(M$1,'Provider Rates'!$A$2:$A$15,'Provider Rates'!$C$2:$C$15)</f>
        <v>933.33333333333337</v>
      </c>
      <c r="N73" s="6" cm="1">
        <f t="array" ref="N73">_xlfn.XLOOKUP($B73,CodeMinutesTable[[Code]:[Code]],CodeMinutesTable[[Minutes]:[Minutes]]) *_xlfn.XLOOKUP(N$1,'Provider Rates'!$A$2:$A$15,'Provider Rates'!$C$2:$C$15)</f>
        <v>816.66666666666663</v>
      </c>
      <c r="O73" s="6" cm="1">
        <f t="array" ref="O73">_xlfn.XLOOKUP($B73,CodeMinutesTable[[Code]:[Code]],CodeMinutesTable[[Minutes]:[Minutes]]) *_xlfn.XLOOKUP(O$1,'Provider Rates'!$A$2:$A$15,'Provider Rates'!$C$2:$C$15)</f>
        <v>700</v>
      </c>
      <c r="P73" s="6" cm="1">
        <f t="array" ref="P73">_xlfn.XLOOKUP($B73,CodeMinutesTable[[Code]:[Code]],CodeMinutesTable[[Minutes]:[Minutes]]) *_xlfn.XLOOKUP(P$1,'Provider Rates'!$A$2:$A$15,'Provider Rates'!$C$2:$C$15)</f>
        <v>466.66666666666669</v>
      </c>
      <c r="Q73" s="6">
        <f>VLOOKUP($B73, CodeMinutesTable[[Code]:[Minutes]], 3, FALSE) * VLOOKUP(Q$1, ProviderRatesTable[], 3, FALSE)</f>
        <v>350</v>
      </c>
    </row>
    <row r="74" spans="1:17" hidden="1" x14ac:dyDescent="0.25">
      <c r="A74" s="3" t="str">
        <f>INDEX(CodeMinutesTable[Frequently Used],MATCH(CodeRatesTable[[#This Row],[Billing Code]],CodeMinutesTable[Code],0))</f>
        <v>No</v>
      </c>
      <c r="B74" s="3" t="s">
        <v>182</v>
      </c>
      <c r="C74" t="s">
        <v>183</v>
      </c>
      <c r="D74" s="6">
        <f>VLOOKUP($B74, CodeMinutesTable[[Code]:[Minutes]], 3, FALSE) * VLOOKUP(D$1, ProviderRatesTable[], 3, FALSE)</f>
        <v>368.33333333333331</v>
      </c>
      <c r="E74" s="6" cm="1">
        <f t="array" ref="E74">_xlfn.XLOOKUP($B74,CodeMinutesTable[[Code]:[Code]],CodeMinutesTable[[Minutes]:[Minutes]]) *_xlfn.XLOOKUP(E$1,'Provider Rates'!$A$2:$A$15,'Provider Rates'!$C$2:$C$15)</f>
        <v>346.66666666666669</v>
      </c>
      <c r="F74" s="6" cm="1">
        <f t="array" ref="F74">_xlfn.XLOOKUP($B74,CodeMinutesTable[[Code]:[Code]],CodeMinutesTable[[Minutes]:[Minutes]]) *_xlfn.XLOOKUP(F$1,'Provider Rates'!$A$2:$A$15,'Provider Rates'!$C$2:$C$15)</f>
        <v>325</v>
      </c>
      <c r="G74" s="6" cm="1">
        <f t="array" ref="G74">_xlfn.XLOOKUP($B74,CodeMinutesTable[[Code]:[Code]],CodeMinutesTable[[Minutes]:[Minutes]]) *_xlfn.XLOOKUP(G$1,'Provider Rates'!$A$2:$A$15,'Provider Rates'!$C$2:$C$15)</f>
        <v>303.33333333333331</v>
      </c>
      <c r="H74" s="6" cm="1">
        <f t="array" ref="H74">_xlfn.XLOOKUP($B74,CodeMinutesTable[[Code]:[Code]],CodeMinutesTable[[Minutes]:[Minutes]]) *_xlfn.XLOOKUP(H$1,'Provider Rates'!$A$2:$A$15,'Provider Rates'!$C$2:$C$15)</f>
        <v>281.66666666666669</v>
      </c>
      <c r="I74" s="6" cm="1">
        <f t="array" ref="I74">_xlfn.XLOOKUP($B74,CodeMinutesTable[[Code]:[Code]],CodeMinutesTable[[Minutes]:[Minutes]]) *_xlfn.XLOOKUP(I$1,'Provider Rates'!$A$2:$A$15,'Provider Rates'!$C$2:$C$15)</f>
        <v>260</v>
      </c>
      <c r="J74" s="6" cm="1">
        <f t="array" ref="J74">_xlfn.XLOOKUP($B74,CodeMinutesTable[[Code]:[Code]],CodeMinutesTable[[Minutes]:[Minutes]]) *_xlfn.XLOOKUP(J$1,'Provider Rates'!$A$2:$A$15,'Provider Rates'!$C$2:$C$15)</f>
        <v>238.33333333333331</v>
      </c>
      <c r="K74" s="6" cm="1">
        <f t="array" ref="K74">_xlfn.XLOOKUP($B74,CodeMinutesTable[[Code]:[Code]],CodeMinutesTable[[Minutes]:[Minutes]]) *_xlfn.XLOOKUP(K$1,'Provider Rates'!$A$2:$A$15,'Provider Rates'!$C$2:$C$15)</f>
        <v>216.66666666666669</v>
      </c>
      <c r="L74" s="6" cm="1">
        <f t="array" ref="L74">_xlfn.XLOOKUP($B74,CodeMinutesTable[[Code]:[Code]],CodeMinutesTable[[Minutes]:[Minutes]]) *_xlfn.XLOOKUP(L$1,'Provider Rates'!$A$2:$A$15,'Provider Rates'!$C$2:$C$15)</f>
        <v>195</v>
      </c>
      <c r="M74" s="6" cm="1">
        <f t="array" ref="M74">_xlfn.XLOOKUP($B74,CodeMinutesTable[[Code]:[Code]],CodeMinutesTable[[Minutes]:[Minutes]]) *_xlfn.XLOOKUP(M$1,'Provider Rates'!$A$2:$A$15,'Provider Rates'!$C$2:$C$15)</f>
        <v>173.33333333333334</v>
      </c>
      <c r="N74" s="6" cm="1">
        <f t="array" ref="N74">_xlfn.XLOOKUP($B74,CodeMinutesTable[[Code]:[Code]],CodeMinutesTable[[Minutes]:[Minutes]]) *_xlfn.XLOOKUP(N$1,'Provider Rates'!$A$2:$A$15,'Provider Rates'!$C$2:$C$15)</f>
        <v>151.66666666666666</v>
      </c>
      <c r="O74" s="6" cm="1">
        <f t="array" ref="O74">_xlfn.XLOOKUP($B74,CodeMinutesTable[[Code]:[Code]],CodeMinutesTable[[Minutes]:[Minutes]]) *_xlfn.XLOOKUP(O$1,'Provider Rates'!$A$2:$A$15,'Provider Rates'!$C$2:$C$15)</f>
        <v>130</v>
      </c>
      <c r="P74" s="6" cm="1">
        <f t="array" ref="P74">_xlfn.XLOOKUP($B74,CodeMinutesTable[[Code]:[Code]],CodeMinutesTable[[Minutes]:[Minutes]]) *_xlfn.XLOOKUP(P$1,'Provider Rates'!$A$2:$A$15,'Provider Rates'!$C$2:$C$15)</f>
        <v>86.666666666666671</v>
      </c>
      <c r="Q74" s="6">
        <f>VLOOKUP($B74, CodeMinutesTable[[Code]:[Minutes]], 3, FALSE) * VLOOKUP(Q$1, ProviderRatesTable[], 3, FALSE)</f>
        <v>65</v>
      </c>
    </row>
    <row r="75" spans="1:17" hidden="1" x14ac:dyDescent="0.25">
      <c r="A75" s="3" t="str">
        <f>INDEX(CodeMinutesTable[Frequently Used],MATCH(CodeRatesTable[[#This Row],[Billing Code]],CodeMinutesTable[Code],0))</f>
        <v>No</v>
      </c>
      <c r="B75" s="3" t="s">
        <v>184</v>
      </c>
      <c r="C75" t="s">
        <v>185</v>
      </c>
      <c r="D75" s="6">
        <f>VLOOKUP($B75, CodeMinutesTable[[Code]:[Minutes]], 3, FALSE) * VLOOKUP(D$1, ProviderRatesTable[], 3, FALSE)</f>
        <v>708.33333333333326</v>
      </c>
      <c r="E75" s="6" cm="1">
        <f t="array" ref="E75">_xlfn.XLOOKUP($B75,CodeMinutesTable[[Code]:[Code]],CodeMinutesTable[[Minutes]:[Minutes]]) *_xlfn.XLOOKUP(E$1,'Provider Rates'!$A$2:$A$15,'Provider Rates'!$C$2:$C$15)</f>
        <v>666.66666666666674</v>
      </c>
      <c r="F75" s="6" cm="1">
        <f t="array" ref="F75">_xlfn.XLOOKUP($B75,CodeMinutesTable[[Code]:[Code]],CodeMinutesTable[[Minutes]:[Minutes]]) *_xlfn.XLOOKUP(F$1,'Provider Rates'!$A$2:$A$15,'Provider Rates'!$C$2:$C$15)</f>
        <v>625</v>
      </c>
      <c r="G75" s="6" cm="1">
        <f t="array" ref="G75">_xlfn.XLOOKUP($B75,CodeMinutesTable[[Code]:[Code]],CodeMinutesTable[[Minutes]:[Minutes]]) *_xlfn.XLOOKUP(G$1,'Provider Rates'!$A$2:$A$15,'Provider Rates'!$C$2:$C$15)</f>
        <v>583.33333333333326</v>
      </c>
      <c r="H75" s="6" cm="1">
        <f t="array" ref="H75">_xlfn.XLOOKUP($B75,CodeMinutesTable[[Code]:[Code]],CodeMinutesTable[[Minutes]:[Minutes]]) *_xlfn.XLOOKUP(H$1,'Provider Rates'!$A$2:$A$15,'Provider Rates'!$C$2:$C$15)</f>
        <v>541.66666666666674</v>
      </c>
      <c r="I75" s="6" cm="1">
        <f t="array" ref="I75">_xlfn.XLOOKUP($B75,CodeMinutesTable[[Code]:[Code]],CodeMinutesTable[[Minutes]:[Minutes]]) *_xlfn.XLOOKUP(I$1,'Provider Rates'!$A$2:$A$15,'Provider Rates'!$C$2:$C$15)</f>
        <v>500</v>
      </c>
      <c r="J75" s="6" cm="1">
        <f t="array" ref="J75">_xlfn.XLOOKUP($B75,CodeMinutesTable[[Code]:[Code]],CodeMinutesTable[[Minutes]:[Minutes]]) *_xlfn.XLOOKUP(J$1,'Provider Rates'!$A$2:$A$15,'Provider Rates'!$C$2:$C$15)</f>
        <v>458.33333333333331</v>
      </c>
      <c r="K75" s="6" cm="1">
        <f t="array" ref="K75">_xlfn.XLOOKUP($B75,CodeMinutesTable[[Code]:[Code]],CodeMinutesTable[[Minutes]:[Minutes]]) *_xlfn.XLOOKUP(K$1,'Provider Rates'!$A$2:$A$15,'Provider Rates'!$C$2:$C$15)</f>
        <v>416.66666666666669</v>
      </c>
      <c r="L75" s="6" cm="1">
        <f t="array" ref="L75">_xlfn.XLOOKUP($B75,CodeMinutesTable[[Code]:[Code]],CodeMinutesTable[[Minutes]:[Minutes]]) *_xlfn.XLOOKUP(L$1,'Provider Rates'!$A$2:$A$15,'Provider Rates'!$C$2:$C$15)</f>
        <v>375</v>
      </c>
      <c r="M75" s="6" cm="1">
        <f t="array" ref="M75">_xlfn.XLOOKUP($B75,CodeMinutesTable[[Code]:[Code]],CodeMinutesTable[[Minutes]:[Minutes]]) *_xlfn.XLOOKUP(M$1,'Provider Rates'!$A$2:$A$15,'Provider Rates'!$C$2:$C$15)</f>
        <v>333.33333333333337</v>
      </c>
      <c r="N75" s="6" cm="1">
        <f t="array" ref="N75">_xlfn.XLOOKUP($B75,CodeMinutesTable[[Code]:[Code]],CodeMinutesTable[[Minutes]:[Minutes]]) *_xlfn.XLOOKUP(N$1,'Provider Rates'!$A$2:$A$15,'Provider Rates'!$C$2:$C$15)</f>
        <v>291.66666666666663</v>
      </c>
      <c r="O75" s="6" cm="1">
        <f t="array" ref="O75">_xlfn.XLOOKUP($B75,CodeMinutesTable[[Code]:[Code]],CodeMinutesTable[[Minutes]:[Minutes]]) *_xlfn.XLOOKUP(O$1,'Provider Rates'!$A$2:$A$15,'Provider Rates'!$C$2:$C$15)</f>
        <v>250</v>
      </c>
      <c r="P75" s="6" cm="1">
        <f t="array" ref="P75">_xlfn.XLOOKUP($B75,CodeMinutesTable[[Code]:[Code]],CodeMinutesTable[[Minutes]:[Minutes]]) *_xlfn.XLOOKUP(P$1,'Provider Rates'!$A$2:$A$15,'Provider Rates'!$C$2:$C$15)</f>
        <v>166.66666666666669</v>
      </c>
      <c r="Q75" s="6">
        <f>VLOOKUP($B75, CodeMinutesTable[[Code]:[Minutes]], 3, FALSE) * VLOOKUP(Q$1, ProviderRatesTable[], 3, FALSE)</f>
        <v>125</v>
      </c>
    </row>
    <row r="76" spans="1:17" hidden="1" x14ac:dyDescent="0.25">
      <c r="A76" s="3" t="str">
        <f>INDEX(CodeMinutesTable[Frequently Used],MATCH(CodeRatesTable[[#This Row],[Billing Code]],CodeMinutesTable[Code],0))</f>
        <v>No</v>
      </c>
      <c r="B76" s="3" t="s">
        <v>186</v>
      </c>
      <c r="C76" t="s">
        <v>187</v>
      </c>
      <c r="D76" s="6">
        <f>VLOOKUP($B76, CodeMinutesTable[[Code]:[Minutes]], 3, FALSE) * VLOOKUP(D$1, ProviderRatesTable[], 3, FALSE)</f>
        <v>991.66666666666663</v>
      </c>
      <c r="E76" s="6" cm="1">
        <f t="array" ref="E76">_xlfn.XLOOKUP($B76,CodeMinutesTable[[Code]:[Code]],CodeMinutesTable[[Minutes]:[Minutes]]) *_xlfn.XLOOKUP(E$1,'Provider Rates'!$A$2:$A$15,'Provider Rates'!$C$2:$C$15)</f>
        <v>933.33333333333337</v>
      </c>
      <c r="F76" s="6" cm="1">
        <f t="array" ref="F76">_xlfn.XLOOKUP($B76,CodeMinutesTable[[Code]:[Code]],CodeMinutesTable[[Minutes]:[Minutes]]) *_xlfn.XLOOKUP(F$1,'Provider Rates'!$A$2:$A$15,'Provider Rates'!$C$2:$C$15)</f>
        <v>875</v>
      </c>
      <c r="G76" s="6" cm="1">
        <f t="array" ref="G76">_xlfn.XLOOKUP($B76,CodeMinutesTable[[Code]:[Code]],CodeMinutesTable[[Minutes]:[Minutes]]) *_xlfn.XLOOKUP(G$1,'Provider Rates'!$A$2:$A$15,'Provider Rates'!$C$2:$C$15)</f>
        <v>816.66666666666663</v>
      </c>
      <c r="H76" s="6" cm="1">
        <f t="array" ref="H76">_xlfn.XLOOKUP($B76,CodeMinutesTable[[Code]:[Code]],CodeMinutesTable[[Minutes]:[Minutes]]) *_xlfn.XLOOKUP(H$1,'Provider Rates'!$A$2:$A$15,'Provider Rates'!$C$2:$C$15)</f>
        <v>758.33333333333337</v>
      </c>
      <c r="I76" s="6" cm="1">
        <f t="array" ref="I76">_xlfn.XLOOKUP($B76,CodeMinutesTable[[Code]:[Code]],CodeMinutesTable[[Minutes]:[Minutes]]) *_xlfn.XLOOKUP(I$1,'Provider Rates'!$A$2:$A$15,'Provider Rates'!$C$2:$C$15)</f>
        <v>700</v>
      </c>
      <c r="J76" s="6" cm="1">
        <f t="array" ref="J76">_xlfn.XLOOKUP($B76,CodeMinutesTable[[Code]:[Code]],CodeMinutesTable[[Minutes]:[Minutes]]) *_xlfn.XLOOKUP(J$1,'Provider Rates'!$A$2:$A$15,'Provider Rates'!$C$2:$C$15)</f>
        <v>641.66666666666663</v>
      </c>
      <c r="K76" s="6" cm="1">
        <f t="array" ref="K76">_xlfn.XLOOKUP($B76,CodeMinutesTable[[Code]:[Code]],CodeMinutesTable[[Minutes]:[Minutes]]) *_xlfn.XLOOKUP(K$1,'Provider Rates'!$A$2:$A$15,'Provider Rates'!$C$2:$C$15)</f>
        <v>583.33333333333337</v>
      </c>
      <c r="L76" s="6" cm="1">
        <f t="array" ref="L76">_xlfn.XLOOKUP($B76,CodeMinutesTable[[Code]:[Code]],CodeMinutesTable[[Minutes]:[Minutes]]) *_xlfn.XLOOKUP(L$1,'Provider Rates'!$A$2:$A$15,'Provider Rates'!$C$2:$C$15)</f>
        <v>525</v>
      </c>
      <c r="M76" s="6" cm="1">
        <f t="array" ref="M76">_xlfn.XLOOKUP($B76,CodeMinutesTable[[Code]:[Code]],CodeMinutesTable[[Minutes]:[Minutes]]) *_xlfn.XLOOKUP(M$1,'Provider Rates'!$A$2:$A$15,'Provider Rates'!$C$2:$C$15)</f>
        <v>466.66666666666669</v>
      </c>
      <c r="N76" s="6" cm="1">
        <f t="array" ref="N76">_xlfn.XLOOKUP($B76,CodeMinutesTable[[Code]:[Code]],CodeMinutesTable[[Minutes]:[Minutes]]) *_xlfn.XLOOKUP(N$1,'Provider Rates'!$A$2:$A$15,'Provider Rates'!$C$2:$C$15)</f>
        <v>408.33333333333331</v>
      </c>
      <c r="O76" s="6" cm="1">
        <f t="array" ref="O76">_xlfn.XLOOKUP($B76,CodeMinutesTable[[Code]:[Code]],CodeMinutesTable[[Minutes]:[Minutes]]) *_xlfn.XLOOKUP(O$1,'Provider Rates'!$A$2:$A$15,'Provider Rates'!$C$2:$C$15)</f>
        <v>350</v>
      </c>
      <c r="P76" s="6" cm="1">
        <f t="array" ref="P76">_xlfn.XLOOKUP($B76,CodeMinutesTable[[Code]:[Code]],CodeMinutesTable[[Minutes]:[Minutes]]) *_xlfn.XLOOKUP(P$1,'Provider Rates'!$A$2:$A$15,'Provider Rates'!$C$2:$C$15)</f>
        <v>233.33333333333334</v>
      </c>
      <c r="Q76" s="6">
        <f>VLOOKUP($B76, CodeMinutesTable[[Code]:[Minutes]], 3, FALSE) * VLOOKUP(Q$1, ProviderRatesTable[], 3, FALSE)</f>
        <v>175</v>
      </c>
    </row>
    <row r="77" spans="1:17" hidden="1" x14ac:dyDescent="0.25">
      <c r="A77" s="3" t="str">
        <f>INDEX(CodeMinutesTable[Frequently Used],MATCH(CodeRatesTable[[#This Row],[Billing Code]],CodeMinutesTable[Code],0))</f>
        <v>No</v>
      </c>
      <c r="B77" s="3" t="s">
        <v>188</v>
      </c>
      <c r="C77" t="s">
        <v>189</v>
      </c>
      <c r="D77" s="6">
        <f>VLOOKUP($B77, CodeMinutesTable[[Code]:[Minutes]], 3, FALSE) * VLOOKUP(D$1, ProviderRatesTable[], 3, FALSE)</f>
        <v>1133.3333333333333</v>
      </c>
      <c r="E77" s="6" cm="1">
        <f t="array" ref="E77">_xlfn.XLOOKUP($B77,CodeMinutesTable[[Code]:[Code]],CodeMinutesTable[[Minutes]:[Minutes]]) *_xlfn.XLOOKUP(E$1,'Provider Rates'!$A$2:$A$15,'Provider Rates'!$C$2:$C$15)</f>
        <v>1066.6666666666667</v>
      </c>
      <c r="F77" s="6" cm="1">
        <f t="array" ref="F77">_xlfn.XLOOKUP($B77,CodeMinutesTable[[Code]:[Code]],CodeMinutesTable[[Minutes]:[Minutes]]) *_xlfn.XLOOKUP(F$1,'Provider Rates'!$A$2:$A$15,'Provider Rates'!$C$2:$C$15)</f>
        <v>1000</v>
      </c>
      <c r="G77" s="6" cm="1">
        <f t="array" ref="G77">_xlfn.XLOOKUP($B77,CodeMinutesTable[[Code]:[Code]],CodeMinutesTable[[Minutes]:[Minutes]]) *_xlfn.XLOOKUP(G$1,'Provider Rates'!$A$2:$A$15,'Provider Rates'!$C$2:$C$15)</f>
        <v>933.33333333333326</v>
      </c>
      <c r="H77" s="6" cm="1">
        <f t="array" ref="H77">_xlfn.XLOOKUP($B77,CodeMinutesTable[[Code]:[Code]],CodeMinutesTable[[Minutes]:[Minutes]]) *_xlfn.XLOOKUP(H$1,'Provider Rates'!$A$2:$A$15,'Provider Rates'!$C$2:$C$15)</f>
        <v>866.66666666666674</v>
      </c>
      <c r="I77" s="6" cm="1">
        <f t="array" ref="I77">_xlfn.XLOOKUP($B77,CodeMinutesTable[[Code]:[Code]],CodeMinutesTable[[Minutes]:[Minutes]]) *_xlfn.XLOOKUP(I$1,'Provider Rates'!$A$2:$A$15,'Provider Rates'!$C$2:$C$15)</f>
        <v>800</v>
      </c>
      <c r="J77" s="6" cm="1">
        <f t="array" ref="J77">_xlfn.XLOOKUP($B77,CodeMinutesTable[[Code]:[Code]],CodeMinutesTable[[Minutes]:[Minutes]]) *_xlfn.XLOOKUP(J$1,'Provider Rates'!$A$2:$A$15,'Provider Rates'!$C$2:$C$15)</f>
        <v>733.33333333333326</v>
      </c>
      <c r="K77" s="6" cm="1">
        <f t="array" ref="K77">_xlfn.XLOOKUP($B77,CodeMinutesTable[[Code]:[Code]],CodeMinutesTable[[Minutes]:[Minutes]]) *_xlfn.XLOOKUP(K$1,'Provider Rates'!$A$2:$A$15,'Provider Rates'!$C$2:$C$15)</f>
        <v>666.66666666666674</v>
      </c>
      <c r="L77" s="6" cm="1">
        <f t="array" ref="L77">_xlfn.XLOOKUP($B77,CodeMinutesTable[[Code]:[Code]],CodeMinutesTable[[Minutes]:[Minutes]]) *_xlfn.XLOOKUP(L$1,'Provider Rates'!$A$2:$A$15,'Provider Rates'!$C$2:$C$15)</f>
        <v>600</v>
      </c>
      <c r="M77" s="6" cm="1">
        <f t="array" ref="M77">_xlfn.XLOOKUP($B77,CodeMinutesTable[[Code]:[Code]],CodeMinutesTable[[Minutes]:[Minutes]]) *_xlfn.XLOOKUP(M$1,'Provider Rates'!$A$2:$A$15,'Provider Rates'!$C$2:$C$15)</f>
        <v>533.33333333333337</v>
      </c>
      <c r="N77" s="6" cm="1">
        <f t="array" ref="N77">_xlfn.XLOOKUP($B77,CodeMinutesTable[[Code]:[Code]],CodeMinutesTable[[Minutes]:[Minutes]]) *_xlfn.XLOOKUP(N$1,'Provider Rates'!$A$2:$A$15,'Provider Rates'!$C$2:$C$15)</f>
        <v>466.66666666666663</v>
      </c>
      <c r="O77" s="6" cm="1">
        <f t="array" ref="O77">_xlfn.XLOOKUP($B77,CodeMinutesTable[[Code]:[Code]],CodeMinutesTable[[Minutes]:[Minutes]]) *_xlfn.XLOOKUP(O$1,'Provider Rates'!$A$2:$A$15,'Provider Rates'!$C$2:$C$15)</f>
        <v>400</v>
      </c>
      <c r="P77" s="6" cm="1">
        <f t="array" ref="P77">_xlfn.XLOOKUP($B77,CodeMinutesTable[[Code]:[Code]],CodeMinutesTable[[Minutes]:[Minutes]]) *_xlfn.XLOOKUP(P$1,'Provider Rates'!$A$2:$A$15,'Provider Rates'!$C$2:$C$15)</f>
        <v>266.66666666666669</v>
      </c>
      <c r="Q77" s="6">
        <f>VLOOKUP($B77, CodeMinutesTable[[Code]:[Minutes]], 3, FALSE) * VLOOKUP(Q$1, ProviderRatesTable[], 3, FALSE)</f>
        <v>200</v>
      </c>
    </row>
    <row r="78" spans="1:17" hidden="1" x14ac:dyDescent="0.25">
      <c r="A78" s="3" t="str">
        <f>INDEX(CodeMinutesTable[Frequently Used],MATCH(CodeRatesTable[[#This Row],[Billing Code]],CodeMinutesTable[Code],0))</f>
        <v>No</v>
      </c>
      <c r="B78" s="3" t="s">
        <v>190</v>
      </c>
      <c r="C78" t="s">
        <v>191</v>
      </c>
      <c r="D78" s="6">
        <f>VLOOKUP($B78, CodeMinutesTable[[Code]:[Minutes]], 3, FALSE) * VLOOKUP(D$1, ProviderRatesTable[], 3, FALSE)</f>
        <v>1388.3333333333333</v>
      </c>
      <c r="E78" s="6" cm="1">
        <f t="array" ref="E78">_xlfn.XLOOKUP($B78,CodeMinutesTable[[Code]:[Code]],CodeMinutesTable[[Minutes]:[Minutes]]) *_xlfn.XLOOKUP(E$1,'Provider Rates'!$A$2:$A$15,'Provider Rates'!$C$2:$C$15)</f>
        <v>1306.6666666666667</v>
      </c>
      <c r="F78" s="6" cm="1">
        <f t="array" ref="F78">_xlfn.XLOOKUP($B78,CodeMinutesTable[[Code]:[Code]],CodeMinutesTable[[Minutes]:[Minutes]]) *_xlfn.XLOOKUP(F$1,'Provider Rates'!$A$2:$A$15,'Provider Rates'!$C$2:$C$15)</f>
        <v>1225</v>
      </c>
      <c r="G78" s="6" cm="1">
        <f t="array" ref="G78">_xlfn.XLOOKUP($B78,CodeMinutesTable[[Code]:[Code]],CodeMinutesTable[[Minutes]:[Minutes]]) *_xlfn.XLOOKUP(G$1,'Provider Rates'!$A$2:$A$15,'Provider Rates'!$C$2:$C$15)</f>
        <v>1143.3333333333333</v>
      </c>
      <c r="H78" s="6" cm="1">
        <f t="array" ref="H78">_xlfn.XLOOKUP($B78,CodeMinutesTable[[Code]:[Code]],CodeMinutesTable[[Minutes]:[Minutes]]) *_xlfn.XLOOKUP(H$1,'Provider Rates'!$A$2:$A$15,'Provider Rates'!$C$2:$C$15)</f>
        <v>1061.6666666666667</v>
      </c>
      <c r="I78" s="6" cm="1">
        <f t="array" ref="I78">_xlfn.XLOOKUP($B78,CodeMinutesTable[[Code]:[Code]],CodeMinutesTable[[Minutes]:[Minutes]]) *_xlfn.XLOOKUP(I$1,'Provider Rates'!$A$2:$A$15,'Provider Rates'!$C$2:$C$15)</f>
        <v>980</v>
      </c>
      <c r="J78" s="6" cm="1">
        <f t="array" ref="J78">_xlfn.XLOOKUP($B78,CodeMinutesTable[[Code]:[Code]],CodeMinutesTable[[Minutes]:[Minutes]]) *_xlfn.XLOOKUP(J$1,'Provider Rates'!$A$2:$A$15,'Provider Rates'!$C$2:$C$15)</f>
        <v>898.33333333333326</v>
      </c>
      <c r="K78" s="6" cm="1">
        <f t="array" ref="K78">_xlfn.XLOOKUP($B78,CodeMinutesTable[[Code]:[Code]],CodeMinutesTable[[Minutes]:[Minutes]]) *_xlfn.XLOOKUP(K$1,'Provider Rates'!$A$2:$A$15,'Provider Rates'!$C$2:$C$15)</f>
        <v>816.66666666666674</v>
      </c>
      <c r="L78" s="6" cm="1">
        <f t="array" ref="L78">_xlfn.XLOOKUP($B78,CodeMinutesTable[[Code]:[Code]],CodeMinutesTable[[Minutes]:[Minutes]]) *_xlfn.XLOOKUP(L$1,'Provider Rates'!$A$2:$A$15,'Provider Rates'!$C$2:$C$15)</f>
        <v>735</v>
      </c>
      <c r="M78" s="6" cm="1">
        <f t="array" ref="M78">_xlfn.XLOOKUP($B78,CodeMinutesTable[[Code]:[Code]],CodeMinutesTable[[Minutes]:[Minutes]]) *_xlfn.XLOOKUP(M$1,'Provider Rates'!$A$2:$A$15,'Provider Rates'!$C$2:$C$15)</f>
        <v>653.33333333333337</v>
      </c>
      <c r="N78" s="6" cm="1">
        <f t="array" ref="N78">_xlfn.XLOOKUP($B78,CodeMinutesTable[[Code]:[Code]],CodeMinutesTable[[Minutes]:[Minutes]]) *_xlfn.XLOOKUP(N$1,'Provider Rates'!$A$2:$A$15,'Provider Rates'!$C$2:$C$15)</f>
        <v>571.66666666666663</v>
      </c>
      <c r="O78" s="6" cm="1">
        <f t="array" ref="O78">_xlfn.XLOOKUP($B78,CodeMinutesTable[[Code]:[Code]],CodeMinutesTable[[Minutes]:[Minutes]]) *_xlfn.XLOOKUP(O$1,'Provider Rates'!$A$2:$A$15,'Provider Rates'!$C$2:$C$15)</f>
        <v>490</v>
      </c>
      <c r="P78" s="6" cm="1">
        <f t="array" ref="P78">_xlfn.XLOOKUP($B78,CodeMinutesTable[[Code]:[Code]],CodeMinutesTable[[Minutes]:[Minutes]]) *_xlfn.XLOOKUP(P$1,'Provider Rates'!$A$2:$A$15,'Provider Rates'!$C$2:$C$15)</f>
        <v>326.66666666666669</v>
      </c>
      <c r="Q78" s="6">
        <f>VLOOKUP($B78, CodeMinutesTable[[Code]:[Minutes]], 3, FALSE) * VLOOKUP(Q$1, ProviderRatesTable[], 3, FALSE)</f>
        <v>245</v>
      </c>
    </row>
    <row r="79" spans="1:17" hidden="1" x14ac:dyDescent="0.25">
      <c r="A79" s="3" t="str">
        <f>INDEX(CodeMinutesTable[Frequently Used],MATCH(CodeRatesTable[[#This Row],[Billing Code]],CodeMinutesTable[Code],0))</f>
        <v>No</v>
      </c>
      <c r="B79" s="3" t="s">
        <v>192</v>
      </c>
      <c r="C79" t="s">
        <v>193</v>
      </c>
      <c r="D79" s="6">
        <f>VLOOKUP($B79, CodeMinutesTable[[Code]:[Minutes]], 3, FALSE) * VLOOKUP(D$1, ProviderRatesTable[], 3, FALSE)</f>
        <v>1615</v>
      </c>
      <c r="E79" s="6" cm="1">
        <f t="array" ref="E79">_xlfn.XLOOKUP($B79,CodeMinutesTable[[Code]:[Code]],CodeMinutesTable[[Minutes]:[Minutes]]) *_xlfn.XLOOKUP(E$1,'Provider Rates'!$A$2:$A$15,'Provider Rates'!$C$2:$C$15)</f>
        <v>1520</v>
      </c>
      <c r="F79" s="6" cm="1">
        <f t="array" ref="F79">_xlfn.XLOOKUP($B79,CodeMinutesTable[[Code]:[Code]],CodeMinutesTable[[Minutes]:[Minutes]]) *_xlfn.XLOOKUP(F$1,'Provider Rates'!$A$2:$A$15,'Provider Rates'!$C$2:$C$15)</f>
        <v>1425</v>
      </c>
      <c r="G79" s="6" cm="1">
        <f t="array" ref="G79">_xlfn.XLOOKUP($B79,CodeMinutesTable[[Code]:[Code]],CodeMinutesTable[[Minutes]:[Minutes]]) *_xlfn.XLOOKUP(G$1,'Provider Rates'!$A$2:$A$15,'Provider Rates'!$C$2:$C$15)</f>
        <v>1330</v>
      </c>
      <c r="H79" s="6" cm="1">
        <f t="array" ref="H79">_xlfn.XLOOKUP($B79,CodeMinutesTable[[Code]:[Code]],CodeMinutesTable[[Minutes]:[Minutes]]) *_xlfn.XLOOKUP(H$1,'Provider Rates'!$A$2:$A$15,'Provider Rates'!$C$2:$C$15)</f>
        <v>1235</v>
      </c>
      <c r="I79" s="6" cm="1">
        <f t="array" ref="I79">_xlfn.XLOOKUP($B79,CodeMinutesTable[[Code]:[Code]],CodeMinutesTable[[Minutes]:[Minutes]]) *_xlfn.XLOOKUP(I$1,'Provider Rates'!$A$2:$A$15,'Provider Rates'!$C$2:$C$15)</f>
        <v>1140</v>
      </c>
      <c r="J79" s="6" cm="1">
        <f t="array" ref="J79">_xlfn.XLOOKUP($B79,CodeMinutesTable[[Code]:[Code]],CodeMinutesTable[[Minutes]:[Minutes]]) *_xlfn.XLOOKUP(J$1,'Provider Rates'!$A$2:$A$15,'Provider Rates'!$C$2:$C$15)</f>
        <v>1045</v>
      </c>
      <c r="K79" s="6" cm="1">
        <f t="array" ref="K79">_xlfn.XLOOKUP($B79,CodeMinutesTable[[Code]:[Code]],CodeMinutesTable[[Minutes]:[Minutes]]) *_xlfn.XLOOKUP(K$1,'Provider Rates'!$A$2:$A$15,'Provider Rates'!$C$2:$C$15)</f>
        <v>950.00000000000011</v>
      </c>
      <c r="L79" s="6" cm="1">
        <f t="array" ref="L79">_xlfn.XLOOKUP($B79,CodeMinutesTable[[Code]:[Code]],CodeMinutesTable[[Minutes]:[Minutes]]) *_xlfn.XLOOKUP(L$1,'Provider Rates'!$A$2:$A$15,'Provider Rates'!$C$2:$C$15)</f>
        <v>855</v>
      </c>
      <c r="M79" s="6" cm="1">
        <f t="array" ref="M79">_xlfn.XLOOKUP($B79,CodeMinutesTable[[Code]:[Code]],CodeMinutesTable[[Minutes]:[Minutes]]) *_xlfn.XLOOKUP(M$1,'Provider Rates'!$A$2:$A$15,'Provider Rates'!$C$2:$C$15)</f>
        <v>760</v>
      </c>
      <c r="N79" s="6" cm="1">
        <f t="array" ref="N79">_xlfn.XLOOKUP($B79,CodeMinutesTable[[Code]:[Code]],CodeMinutesTable[[Minutes]:[Minutes]]) *_xlfn.XLOOKUP(N$1,'Provider Rates'!$A$2:$A$15,'Provider Rates'!$C$2:$C$15)</f>
        <v>665</v>
      </c>
      <c r="O79" s="6" cm="1">
        <f t="array" ref="O79">_xlfn.XLOOKUP($B79,CodeMinutesTable[[Code]:[Code]],CodeMinutesTable[[Minutes]:[Minutes]]) *_xlfn.XLOOKUP(O$1,'Provider Rates'!$A$2:$A$15,'Provider Rates'!$C$2:$C$15)</f>
        <v>570</v>
      </c>
      <c r="P79" s="6" cm="1">
        <f t="array" ref="P79">_xlfn.XLOOKUP($B79,CodeMinutesTable[[Code]:[Code]],CodeMinutesTable[[Minutes]:[Minutes]]) *_xlfn.XLOOKUP(P$1,'Provider Rates'!$A$2:$A$15,'Provider Rates'!$C$2:$C$15)</f>
        <v>380</v>
      </c>
      <c r="Q79" s="6">
        <f>VLOOKUP($B79, CodeMinutesTable[[Code]:[Minutes]], 3, FALSE) * VLOOKUP(Q$1, ProviderRatesTable[], 3, FALSE)</f>
        <v>285</v>
      </c>
    </row>
    <row r="80" spans="1:17" hidden="1" x14ac:dyDescent="0.25">
      <c r="A80" s="3" t="str">
        <f>INDEX(CodeMinutesTable[Frequently Used],MATCH(CodeRatesTable[[#This Row],[Billing Code]],CodeMinutesTable[Code],0))</f>
        <v>No</v>
      </c>
      <c r="B80" s="3" t="s">
        <v>194</v>
      </c>
      <c r="C80" t="s">
        <v>195</v>
      </c>
      <c r="D80" s="6">
        <f>VLOOKUP($B80, CodeMinutesTable[[Code]:[Minutes]], 3, FALSE) * VLOOKUP(D$1, ProviderRatesTable[], 3, FALSE)</f>
        <v>425</v>
      </c>
      <c r="E80" s="6" cm="1">
        <f t="array" ref="E80">_xlfn.XLOOKUP($B80,CodeMinutesTable[[Code]:[Code]],CodeMinutesTable[[Minutes]:[Minutes]]) *_xlfn.XLOOKUP(E$1,'Provider Rates'!$A$2:$A$15,'Provider Rates'!$C$2:$C$15)</f>
        <v>400</v>
      </c>
      <c r="F80" s="6" cm="1">
        <f t="array" ref="F80">_xlfn.XLOOKUP($B80,CodeMinutesTable[[Code]:[Code]],CodeMinutesTable[[Minutes]:[Minutes]]) *_xlfn.XLOOKUP(F$1,'Provider Rates'!$A$2:$A$15,'Provider Rates'!$C$2:$C$15)</f>
        <v>375</v>
      </c>
      <c r="G80" s="6" cm="1">
        <f t="array" ref="G80">_xlfn.XLOOKUP($B80,CodeMinutesTable[[Code]:[Code]],CodeMinutesTable[[Minutes]:[Minutes]]) *_xlfn.XLOOKUP(G$1,'Provider Rates'!$A$2:$A$15,'Provider Rates'!$C$2:$C$15)</f>
        <v>350</v>
      </c>
      <c r="H80" s="6" cm="1">
        <f t="array" ref="H80">_xlfn.XLOOKUP($B80,CodeMinutesTable[[Code]:[Code]],CodeMinutesTable[[Minutes]:[Minutes]]) *_xlfn.XLOOKUP(H$1,'Provider Rates'!$A$2:$A$15,'Provider Rates'!$C$2:$C$15)</f>
        <v>325</v>
      </c>
      <c r="I80" s="6" cm="1">
        <f t="array" ref="I80">_xlfn.XLOOKUP($B80,CodeMinutesTable[[Code]:[Code]],CodeMinutesTable[[Minutes]:[Minutes]]) *_xlfn.XLOOKUP(I$1,'Provider Rates'!$A$2:$A$15,'Provider Rates'!$C$2:$C$15)</f>
        <v>300</v>
      </c>
      <c r="J80" s="6" cm="1">
        <f t="array" ref="J80">_xlfn.XLOOKUP($B80,CodeMinutesTable[[Code]:[Code]],CodeMinutesTable[[Minutes]:[Minutes]]) *_xlfn.XLOOKUP(J$1,'Provider Rates'!$A$2:$A$15,'Provider Rates'!$C$2:$C$15)</f>
        <v>275</v>
      </c>
      <c r="K80" s="6" cm="1">
        <f t="array" ref="K80">_xlfn.XLOOKUP($B80,CodeMinutesTable[[Code]:[Code]],CodeMinutesTable[[Minutes]:[Minutes]]) *_xlfn.XLOOKUP(K$1,'Provider Rates'!$A$2:$A$15,'Provider Rates'!$C$2:$C$15)</f>
        <v>250.00000000000003</v>
      </c>
      <c r="L80" s="6" cm="1">
        <f t="array" ref="L80">_xlfn.XLOOKUP($B80,CodeMinutesTable[[Code]:[Code]],CodeMinutesTable[[Minutes]:[Minutes]]) *_xlfn.XLOOKUP(L$1,'Provider Rates'!$A$2:$A$15,'Provider Rates'!$C$2:$C$15)</f>
        <v>225</v>
      </c>
      <c r="M80" s="6" cm="1">
        <f t="array" ref="M80">_xlfn.XLOOKUP($B80,CodeMinutesTable[[Code]:[Code]],CodeMinutesTable[[Minutes]:[Minutes]]) *_xlfn.XLOOKUP(M$1,'Provider Rates'!$A$2:$A$15,'Provider Rates'!$C$2:$C$15)</f>
        <v>200</v>
      </c>
      <c r="N80" s="6" cm="1">
        <f t="array" ref="N80">_xlfn.XLOOKUP($B80,CodeMinutesTable[[Code]:[Code]],CodeMinutesTable[[Minutes]:[Minutes]]) *_xlfn.XLOOKUP(N$1,'Provider Rates'!$A$2:$A$15,'Provider Rates'!$C$2:$C$15)</f>
        <v>175</v>
      </c>
      <c r="O80" s="6" cm="1">
        <f t="array" ref="O80">_xlfn.XLOOKUP($B80,CodeMinutesTable[[Code]:[Code]],CodeMinutesTable[[Minutes]:[Minutes]]) *_xlfn.XLOOKUP(O$1,'Provider Rates'!$A$2:$A$15,'Provider Rates'!$C$2:$C$15)</f>
        <v>150</v>
      </c>
      <c r="P80" s="6" cm="1">
        <f t="array" ref="P80">_xlfn.XLOOKUP($B80,CodeMinutesTable[[Code]:[Code]],CodeMinutesTable[[Minutes]:[Minutes]]) *_xlfn.XLOOKUP(P$1,'Provider Rates'!$A$2:$A$15,'Provider Rates'!$C$2:$C$15)</f>
        <v>100</v>
      </c>
      <c r="Q80" s="6">
        <f>VLOOKUP($B80, CodeMinutesTable[[Code]:[Minutes]], 3, FALSE) * VLOOKUP(Q$1, ProviderRatesTable[], 3, FALSE)</f>
        <v>75</v>
      </c>
    </row>
    <row r="81" spans="1:17" hidden="1" x14ac:dyDescent="0.25">
      <c r="A81" s="3" t="str">
        <f>INDEX(CodeMinutesTable[Frequently Used],MATCH(CodeRatesTable[[#This Row],[Billing Code]],CodeMinutesTable[Code],0))</f>
        <v>No</v>
      </c>
      <c r="B81" s="3" t="s">
        <v>196</v>
      </c>
      <c r="C81" t="s">
        <v>197</v>
      </c>
      <c r="D81" s="6">
        <f>VLOOKUP($B81, CodeMinutesTable[[Code]:[Minutes]], 3, FALSE) * VLOOKUP(D$1, ProviderRatesTable[], 3, FALSE)</f>
        <v>793.33333333333326</v>
      </c>
      <c r="E81" s="6" cm="1">
        <f t="array" ref="E81">_xlfn.XLOOKUP($B81,CodeMinutesTable[[Code]:[Code]],CodeMinutesTable[[Minutes]:[Minutes]]) *_xlfn.XLOOKUP(E$1,'Provider Rates'!$A$2:$A$15,'Provider Rates'!$C$2:$C$15)</f>
        <v>746.66666666666674</v>
      </c>
      <c r="F81" s="6" cm="1">
        <f t="array" ref="F81">_xlfn.XLOOKUP($B81,CodeMinutesTable[[Code]:[Code]],CodeMinutesTable[[Minutes]:[Minutes]]) *_xlfn.XLOOKUP(F$1,'Provider Rates'!$A$2:$A$15,'Provider Rates'!$C$2:$C$15)</f>
        <v>700</v>
      </c>
      <c r="G81" s="6" cm="1">
        <f t="array" ref="G81">_xlfn.XLOOKUP($B81,CodeMinutesTable[[Code]:[Code]],CodeMinutesTable[[Minutes]:[Minutes]]) *_xlfn.XLOOKUP(G$1,'Provider Rates'!$A$2:$A$15,'Provider Rates'!$C$2:$C$15)</f>
        <v>653.33333333333326</v>
      </c>
      <c r="H81" s="6" cm="1">
        <f t="array" ref="H81">_xlfn.XLOOKUP($B81,CodeMinutesTable[[Code]:[Code]],CodeMinutesTable[[Minutes]:[Minutes]]) *_xlfn.XLOOKUP(H$1,'Provider Rates'!$A$2:$A$15,'Provider Rates'!$C$2:$C$15)</f>
        <v>606.66666666666674</v>
      </c>
      <c r="I81" s="6" cm="1">
        <f t="array" ref="I81">_xlfn.XLOOKUP($B81,CodeMinutesTable[[Code]:[Code]],CodeMinutesTable[[Minutes]:[Minutes]]) *_xlfn.XLOOKUP(I$1,'Provider Rates'!$A$2:$A$15,'Provider Rates'!$C$2:$C$15)</f>
        <v>560</v>
      </c>
      <c r="J81" s="6" cm="1">
        <f t="array" ref="J81">_xlfn.XLOOKUP($B81,CodeMinutesTable[[Code]:[Code]],CodeMinutesTable[[Minutes]:[Minutes]]) *_xlfn.XLOOKUP(J$1,'Provider Rates'!$A$2:$A$15,'Provider Rates'!$C$2:$C$15)</f>
        <v>513.33333333333326</v>
      </c>
      <c r="K81" s="6" cm="1">
        <f t="array" ref="K81">_xlfn.XLOOKUP($B81,CodeMinutesTable[[Code]:[Code]],CodeMinutesTable[[Minutes]:[Minutes]]) *_xlfn.XLOOKUP(K$1,'Provider Rates'!$A$2:$A$15,'Provider Rates'!$C$2:$C$15)</f>
        <v>466.66666666666669</v>
      </c>
      <c r="L81" s="6" cm="1">
        <f t="array" ref="L81">_xlfn.XLOOKUP($B81,CodeMinutesTable[[Code]:[Code]],CodeMinutesTable[[Minutes]:[Minutes]]) *_xlfn.XLOOKUP(L$1,'Provider Rates'!$A$2:$A$15,'Provider Rates'!$C$2:$C$15)</f>
        <v>420</v>
      </c>
      <c r="M81" s="6" cm="1">
        <f t="array" ref="M81">_xlfn.XLOOKUP($B81,CodeMinutesTable[[Code]:[Code]],CodeMinutesTable[[Minutes]:[Minutes]]) *_xlfn.XLOOKUP(M$1,'Provider Rates'!$A$2:$A$15,'Provider Rates'!$C$2:$C$15)</f>
        <v>373.33333333333337</v>
      </c>
      <c r="N81" s="6" cm="1">
        <f t="array" ref="N81">_xlfn.XLOOKUP($B81,CodeMinutesTable[[Code]:[Code]],CodeMinutesTable[[Minutes]:[Minutes]]) *_xlfn.XLOOKUP(N$1,'Provider Rates'!$A$2:$A$15,'Provider Rates'!$C$2:$C$15)</f>
        <v>326.66666666666663</v>
      </c>
      <c r="O81" s="6" cm="1">
        <f t="array" ref="O81">_xlfn.XLOOKUP($B81,CodeMinutesTable[[Code]:[Code]],CodeMinutesTable[[Minutes]:[Minutes]]) *_xlfn.XLOOKUP(O$1,'Provider Rates'!$A$2:$A$15,'Provider Rates'!$C$2:$C$15)</f>
        <v>280</v>
      </c>
      <c r="P81" s="6" cm="1">
        <f t="array" ref="P81">_xlfn.XLOOKUP($B81,CodeMinutesTable[[Code]:[Code]],CodeMinutesTable[[Minutes]:[Minutes]]) *_xlfn.XLOOKUP(P$1,'Provider Rates'!$A$2:$A$15,'Provider Rates'!$C$2:$C$15)</f>
        <v>186.66666666666669</v>
      </c>
      <c r="Q81" s="6">
        <f>VLOOKUP($B81, CodeMinutesTable[[Code]:[Minutes]], 3, FALSE) * VLOOKUP(Q$1, ProviderRatesTable[], 3, FALSE)</f>
        <v>140</v>
      </c>
    </row>
    <row r="82" spans="1:17" hidden="1" x14ac:dyDescent="0.25">
      <c r="A82" s="3" t="str">
        <f>INDEX(CodeMinutesTable[Frequently Used],MATCH(CodeRatesTable[[#This Row],[Billing Code]],CodeMinutesTable[Code],0))</f>
        <v>No</v>
      </c>
      <c r="B82" s="3" t="s">
        <v>198</v>
      </c>
      <c r="C82" t="s">
        <v>199</v>
      </c>
      <c r="D82" s="6">
        <f>VLOOKUP($B82, CodeMinutesTable[[Code]:[Minutes]], 3, FALSE) * VLOOKUP(D$1, ProviderRatesTable[], 3, FALSE)</f>
        <v>1190</v>
      </c>
      <c r="E82" s="6" cm="1">
        <f t="array" ref="E82">_xlfn.XLOOKUP($B82,CodeMinutesTable[[Code]:[Code]],CodeMinutesTable[[Minutes]:[Minutes]]) *_xlfn.XLOOKUP(E$1,'Provider Rates'!$A$2:$A$15,'Provider Rates'!$C$2:$C$15)</f>
        <v>1120</v>
      </c>
      <c r="F82" s="6" cm="1">
        <f t="array" ref="F82">_xlfn.XLOOKUP($B82,CodeMinutesTable[[Code]:[Code]],CodeMinutesTable[[Minutes]:[Minutes]]) *_xlfn.XLOOKUP(F$1,'Provider Rates'!$A$2:$A$15,'Provider Rates'!$C$2:$C$15)</f>
        <v>1050</v>
      </c>
      <c r="G82" s="6" cm="1">
        <f t="array" ref="G82">_xlfn.XLOOKUP($B82,CodeMinutesTable[[Code]:[Code]],CodeMinutesTable[[Minutes]:[Minutes]]) *_xlfn.XLOOKUP(G$1,'Provider Rates'!$A$2:$A$15,'Provider Rates'!$C$2:$C$15)</f>
        <v>980</v>
      </c>
      <c r="H82" s="6" cm="1">
        <f t="array" ref="H82">_xlfn.XLOOKUP($B82,CodeMinutesTable[[Code]:[Code]],CodeMinutesTable[[Minutes]:[Minutes]]) *_xlfn.XLOOKUP(H$1,'Provider Rates'!$A$2:$A$15,'Provider Rates'!$C$2:$C$15)</f>
        <v>910</v>
      </c>
      <c r="I82" s="6" cm="1">
        <f t="array" ref="I82">_xlfn.XLOOKUP($B82,CodeMinutesTable[[Code]:[Code]],CodeMinutesTable[[Minutes]:[Minutes]]) *_xlfn.XLOOKUP(I$1,'Provider Rates'!$A$2:$A$15,'Provider Rates'!$C$2:$C$15)</f>
        <v>840</v>
      </c>
      <c r="J82" s="6" cm="1">
        <f t="array" ref="J82">_xlfn.XLOOKUP($B82,CodeMinutesTable[[Code]:[Code]],CodeMinutesTable[[Minutes]:[Minutes]]) *_xlfn.XLOOKUP(J$1,'Provider Rates'!$A$2:$A$15,'Provider Rates'!$C$2:$C$15)</f>
        <v>770</v>
      </c>
      <c r="K82" s="6" cm="1">
        <f t="array" ref="K82">_xlfn.XLOOKUP($B82,CodeMinutesTable[[Code]:[Code]],CodeMinutesTable[[Minutes]:[Minutes]]) *_xlfn.XLOOKUP(K$1,'Provider Rates'!$A$2:$A$15,'Provider Rates'!$C$2:$C$15)</f>
        <v>700</v>
      </c>
      <c r="L82" s="6" cm="1">
        <f t="array" ref="L82">_xlfn.XLOOKUP($B82,CodeMinutesTable[[Code]:[Code]],CodeMinutesTable[[Minutes]:[Minutes]]) *_xlfn.XLOOKUP(L$1,'Provider Rates'!$A$2:$A$15,'Provider Rates'!$C$2:$C$15)</f>
        <v>630</v>
      </c>
      <c r="M82" s="6" cm="1">
        <f t="array" ref="M82">_xlfn.XLOOKUP($B82,CodeMinutesTable[[Code]:[Code]],CodeMinutesTable[[Minutes]:[Minutes]]) *_xlfn.XLOOKUP(M$1,'Provider Rates'!$A$2:$A$15,'Provider Rates'!$C$2:$C$15)</f>
        <v>560</v>
      </c>
      <c r="N82" s="6" cm="1">
        <f t="array" ref="N82">_xlfn.XLOOKUP($B82,CodeMinutesTable[[Code]:[Code]],CodeMinutesTable[[Minutes]:[Minutes]]) *_xlfn.XLOOKUP(N$1,'Provider Rates'!$A$2:$A$15,'Provider Rates'!$C$2:$C$15)</f>
        <v>490</v>
      </c>
      <c r="O82" s="6" cm="1">
        <f t="array" ref="O82">_xlfn.XLOOKUP($B82,CodeMinutesTable[[Code]:[Code]],CodeMinutesTable[[Minutes]:[Minutes]]) *_xlfn.XLOOKUP(O$1,'Provider Rates'!$A$2:$A$15,'Provider Rates'!$C$2:$C$15)</f>
        <v>420</v>
      </c>
      <c r="P82" s="6" cm="1">
        <f t="array" ref="P82">_xlfn.XLOOKUP($B82,CodeMinutesTable[[Code]:[Code]],CodeMinutesTable[[Minutes]:[Minutes]]) *_xlfn.XLOOKUP(P$1,'Provider Rates'!$A$2:$A$15,'Provider Rates'!$C$2:$C$15)</f>
        <v>280</v>
      </c>
      <c r="Q82" s="6">
        <f>VLOOKUP($B82, CodeMinutesTable[[Code]:[Minutes]], 3, FALSE) * VLOOKUP(Q$1, ProviderRatesTable[], 3, FALSE)</f>
        <v>210</v>
      </c>
    </row>
    <row r="83" spans="1:17" hidden="1" x14ac:dyDescent="0.25">
      <c r="A83" s="3" t="str">
        <f>INDEX(CodeMinutesTable[Frequently Used],MATCH(CodeRatesTable[[#This Row],[Billing Code]],CodeMinutesTable[Code],0))</f>
        <v>No</v>
      </c>
      <c r="B83" s="3" t="s">
        <v>200</v>
      </c>
      <c r="C83" t="s">
        <v>201</v>
      </c>
      <c r="D83" s="6">
        <f>VLOOKUP($B83, CodeMinutesTable[[Code]:[Minutes]], 3, FALSE) * VLOOKUP(D$1, ProviderRatesTable[], 3, FALSE)</f>
        <v>1700</v>
      </c>
      <c r="E83" s="6" cm="1">
        <f t="array" ref="E83">_xlfn.XLOOKUP($B83,CodeMinutesTable[[Code]:[Code]],CodeMinutesTable[[Minutes]:[Minutes]]) *_xlfn.XLOOKUP(E$1,'Provider Rates'!$A$2:$A$15,'Provider Rates'!$C$2:$C$15)</f>
        <v>1600</v>
      </c>
      <c r="F83" s="6" cm="1">
        <f t="array" ref="F83">_xlfn.XLOOKUP($B83,CodeMinutesTable[[Code]:[Code]],CodeMinutesTable[[Minutes]:[Minutes]]) *_xlfn.XLOOKUP(F$1,'Provider Rates'!$A$2:$A$15,'Provider Rates'!$C$2:$C$15)</f>
        <v>1500</v>
      </c>
      <c r="G83" s="6" cm="1">
        <f t="array" ref="G83">_xlfn.XLOOKUP($B83,CodeMinutesTable[[Code]:[Code]],CodeMinutesTable[[Minutes]:[Minutes]]) *_xlfn.XLOOKUP(G$1,'Provider Rates'!$A$2:$A$15,'Provider Rates'!$C$2:$C$15)</f>
        <v>1400</v>
      </c>
      <c r="H83" s="6" cm="1">
        <f t="array" ref="H83">_xlfn.XLOOKUP($B83,CodeMinutesTable[[Code]:[Code]],CodeMinutesTable[[Minutes]:[Minutes]]) *_xlfn.XLOOKUP(H$1,'Provider Rates'!$A$2:$A$15,'Provider Rates'!$C$2:$C$15)</f>
        <v>1300</v>
      </c>
      <c r="I83" s="6" cm="1">
        <f t="array" ref="I83">_xlfn.XLOOKUP($B83,CodeMinutesTable[[Code]:[Code]],CodeMinutesTable[[Minutes]:[Minutes]]) *_xlfn.XLOOKUP(I$1,'Provider Rates'!$A$2:$A$15,'Provider Rates'!$C$2:$C$15)</f>
        <v>1200</v>
      </c>
      <c r="J83" s="6" cm="1">
        <f t="array" ref="J83">_xlfn.XLOOKUP($B83,CodeMinutesTable[[Code]:[Code]],CodeMinutesTable[[Minutes]:[Minutes]]) *_xlfn.XLOOKUP(J$1,'Provider Rates'!$A$2:$A$15,'Provider Rates'!$C$2:$C$15)</f>
        <v>1100</v>
      </c>
      <c r="K83" s="6" cm="1">
        <f t="array" ref="K83">_xlfn.XLOOKUP($B83,CodeMinutesTable[[Code]:[Code]],CodeMinutesTable[[Minutes]:[Minutes]]) *_xlfn.XLOOKUP(K$1,'Provider Rates'!$A$2:$A$15,'Provider Rates'!$C$2:$C$15)</f>
        <v>1000.0000000000001</v>
      </c>
      <c r="L83" s="6" cm="1">
        <f t="array" ref="L83">_xlfn.XLOOKUP($B83,CodeMinutesTable[[Code]:[Code]],CodeMinutesTable[[Minutes]:[Minutes]]) *_xlfn.XLOOKUP(L$1,'Provider Rates'!$A$2:$A$15,'Provider Rates'!$C$2:$C$15)</f>
        <v>900</v>
      </c>
      <c r="M83" s="6" cm="1">
        <f t="array" ref="M83">_xlfn.XLOOKUP($B83,CodeMinutesTable[[Code]:[Code]],CodeMinutesTable[[Minutes]:[Minutes]]) *_xlfn.XLOOKUP(M$1,'Provider Rates'!$A$2:$A$15,'Provider Rates'!$C$2:$C$15)</f>
        <v>800</v>
      </c>
      <c r="N83" s="6" cm="1">
        <f t="array" ref="N83">_xlfn.XLOOKUP($B83,CodeMinutesTable[[Code]:[Code]],CodeMinutesTable[[Minutes]:[Minutes]]) *_xlfn.XLOOKUP(N$1,'Provider Rates'!$A$2:$A$15,'Provider Rates'!$C$2:$C$15)</f>
        <v>700</v>
      </c>
      <c r="O83" s="6" cm="1">
        <f t="array" ref="O83">_xlfn.XLOOKUP($B83,CodeMinutesTable[[Code]:[Code]],CodeMinutesTable[[Minutes]:[Minutes]]) *_xlfn.XLOOKUP(O$1,'Provider Rates'!$A$2:$A$15,'Provider Rates'!$C$2:$C$15)</f>
        <v>600</v>
      </c>
      <c r="P83" s="6" cm="1">
        <f t="array" ref="P83">_xlfn.XLOOKUP($B83,CodeMinutesTable[[Code]:[Code]],CodeMinutesTable[[Minutes]:[Minutes]]) *_xlfn.XLOOKUP(P$1,'Provider Rates'!$A$2:$A$15,'Provider Rates'!$C$2:$C$15)</f>
        <v>400</v>
      </c>
      <c r="Q83" s="6">
        <f>VLOOKUP($B83, CodeMinutesTable[[Code]:[Minutes]], 3, FALSE) * VLOOKUP(Q$1, ProviderRatesTable[], 3, FALSE)</f>
        <v>300</v>
      </c>
    </row>
    <row r="84" spans="1:17" hidden="1" x14ac:dyDescent="0.25">
      <c r="A84" s="3" t="str">
        <f>INDEX(CodeMinutesTable[Frequently Used],MATCH(CodeRatesTable[[#This Row],[Billing Code]],CodeMinutesTable[Code],0))</f>
        <v>No</v>
      </c>
      <c r="B84" s="3" t="s">
        <v>202</v>
      </c>
      <c r="C84" t="s">
        <v>203</v>
      </c>
      <c r="D84" s="6">
        <f>VLOOKUP($B84, CodeMinutesTable[[Code]:[Minutes]], 3, FALSE) * VLOOKUP(D$1, ProviderRatesTable[], 3, FALSE)</f>
        <v>2295</v>
      </c>
      <c r="E84" s="6" cm="1">
        <f t="array" ref="E84">_xlfn.XLOOKUP($B84,CodeMinutesTable[[Code]:[Code]],CodeMinutesTable[[Minutes]:[Minutes]]) *_xlfn.XLOOKUP(E$1,'Provider Rates'!$A$2:$A$15,'Provider Rates'!$C$2:$C$15)</f>
        <v>2160</v>
      </c>
      <c r="F84" s="6" cm="1">
        <f t="array" ref="F84">_xlfn.XLOOKUP($B84,CodeMinutesTable[[Code]:[Code]],CodeMinutesTable[[Minutes]:[Minutes]]) *_xlfn.XLOOKUP(F$1,'Provider Rates'!$A$2:$A$15,'Provider Rates'!$C$2:$C$15)</f>
        <v>2025</v>
      </c>
      <c r="G84" s="6" cm="1">
        <f t="array" ref="G84">_xlfn.XLOOKUP($B84,CodeMinutesTable[[Code]:[Code]],CodeMinutesTable[[Minutes]:[Minutes]]) *_xlfn.XLOOKUP(G$1,'Provider Rates'!$A$2:$A$15,'Provider Rates'!$C$2:$C$15)</f>
        <v>1890</v>
      </c>
      <c r="H84" s="6" cm="1">
        <f t="array" ref="H84">_xlfn.XLOOKUP($B84,CodeMinutesTable[[Code]:[Code]],CodeMinutesTable[[Minutes]:[Minutes]]) *_xlfn.XLOOKUP(H$1,'Provider Rates'!$A$2:$A$15,'Provider Rates'!$C$2:$C$15)</f>
        <v>1755</v>
      </c>
      <c r="I84" s="6" cm="1">
        <f t="array" ref="I84">_xlfn.XLOOKUP($B84,CodeMinutesTable[[Code]:[Code]],CodeMinutesTable[[Minutes]:[Minutes]]) *_xlfn.XLOOKUP(I$1,'Provider Rates'!$A$2:$A$15,'Provider Rates'!$C$2:$C$15)</f>
        <v>1620</v>
      </c>
      <c r="J84" s="6" cm="1">
        <f t="array" ref="J84">_xlfn.XLOOKUP($B84,CodeMinutesTable[[Code]:[Code]],CodeMinutesTable[[Minutes]:[Minutes]]) *_xlfn.XLOOKUP(J$1,'Provider Rates'!$A$2:$A$15,'Provider Rates'!$C$2:$C$15)</f>
        <v>1485</v>
      </c>
      <c r="K84" s="6" cm="1">
        <f t="array" ref="K84">_xlfn.XLOOKUP($B84,CodeMinutesTable[[Code]:[Code]],CodeMinutesTable[[Minutes]:[Minutes]]) *_xlfn.XLOOKUP(K$1,'Provider Rates'!$A$2:$A$15,'Provider Rates'!$C$2:$C$15)</f>
        <v>1350</v>
      </c>
      <c r="L84" s="6" cm="1">
        <f t="array" ref="L84">_xlfn.XLOOKUP($B84,CodeMinutesTable[[Code]:[Code]],CodeMinutesTable[[Minutes]:[Minutes]]) *_xlfn.XLOOKUP(L$1,'Provider Rates'!$A$2:$A$15,'Provider Rates'!$C$2:$C$15)</f>
        <v>1215</v>
      </c>
      <c r="M84" s="6" cm="1">
        <f t="array" ref="M84">_xlfn.XLOOKUP($B84,CodeMinutesTable[[Code]:[Code]],CodeMinutesTable[[Minutes]:[Minutes]]) *_xlfn.XLOOKUP(M$1,'Provider Rates'!$A$2:$A$15,'Provider Rates'!$C$2:$C$15)</f>
        <v>1080</v>
      </c>
      <c r="N84" s="6" cm="1">
        <f t="array" ref="N84">_xlfn.XLOOKUP($B84,CodeMinutesTable[[Code]:[Code]],CodeMinutesTable[[Minutes]:[Minutes]]) *_xlfn.XLOOKUP(N$1,'Provider Rates'!$A$2:$A$15,'Provider Rates'!$C$2:$C$15)</f>
        <v>945</v>
      </c>
      <c r="O84" s="6" cm="1">
        <f t="array" ref="O84">_xlfn.XLOOKUP($B84,CodeMinutesTable[[Code]:[Code]],CodeMinutesTable[[Minutes]:[Minutes]]) *_xlfn.XLOOKUP(O$1,'Provider Rates'!$A$2:$A$15,'Provider Rates'!$C$2:$C$15)</f>
        <v>810</v>
      </c>
      <c r="P84" s="6" cm="1">
        <f t="array" ref="P84">_xlfn.XLOOKUP($B84,CodeMinutesTable[[Code]:[Code]],CodeMinutesTable[[Minutes]:[Minutes]]) *_xlfn.XLOOKUP(P$1,'Provider Rates'!$A$2:$A$15,'Provider Rates'!$C$2:$C$15)</f>
        <v>540</v>
      </c>
      <c r="Q84" s="6">
        <f>VLOOKUP($B84, CodeMinutesTable[[Code]:[Minutes]], 3, FALSE) * VLOOKUP(Q$1, ProviderRatesTable[], 3, FALSE)</f>
        <v>405</v>
      </c>
    </row>
    <row r="85" spans="1:17" hidden="1" x14ac:dyDescent="0.25">
      <c r="A85" s="3" t="str">
        <f>INDEX(CodeMinutesTable[Frequently Used],MATCH(CodeRatesTable[[#This Row],[Billing Code]],CodeMinutesTable[Code],0))</f>
        <v>No</v>
      </c>
      <c r="B85" s="3" t="s">
        <v>204</v>
      </c>
      <c r="C85" t="s">
        <v>205</v>
      </c>
      <c r="D85" s="6">
        <f>VLOOKUP($B85, CodeMinutesTable[[Code]:[Minutes]], 3, FALSE) * VLOOKUP(D$1, ProviderRatesTable[], 3, FALSE)</f>
        <v>651.66666666666663</v>
      </c>
      <c r="E85" s="6" cm="1">
        <f t="array" ref="E85">_xlfn.XLOOKUP($B85,CodeMinutesTable[[Code]:[Code]],CodeMinutesTable[[Minutes]:[Minutes]]) *_xlfn.XLOOKUP(E$1,'Provider Rates'!$A$2:$A$15,'Provider Rates'!$C$2:$C$15)</f>
        <v>613.33333333333337</v>
      </c>
      <c r="F85" s="6" cm="1">
        <f t="array" ref="F85">_xlfn.XLOOKUP($B85,CodeMinutesTable[[Code]:[Code]],CodeMinutesTable[[Minutes]:[Minutes]]) *_xlfn.XLOOKUP(F$1,'Provider Rates'!$A$2:$A$15,'Provider Rates'!$C$2:$C$15)</f>
        <v>575</v>
      </c>
      <c r="G85" s="6" cm="1">
        <f t="array" ref="G85">_xlfn.XLOOKUP($B85,CodeMinutesTable[[Code]:[Code]],CodeMinutesTable[[Minutes]:[Minutes]]) *_xlfn.XLOOKUP(G$1,'Provider Rates'!$A$2:$A$15,'Provider Rates'!$C$2:$C$15)</f>
        <v>536.66666666666663</v>
      </c>
      <c r="H85" s="6" cm="1">
        <f t="array" ref="H85">_xlfn.XLOOKUP($B85,CodeMinutesTable[[Code]:[Code]],CodeMinutesTable[[Minutes]:[Minutes]]) *_xlfn.XLOOKUP(H$1,'Provider Rates'!$A$2:$A$15,'Provider Rates'!$C$2:$C$15)</f>
        <v>498.33333333333337</v>
      </c>
      <c r="I85" s="6" cm="1">
        <f t="array" ref="I85">_xlfn.XLOOKUP($B85,CodeMinutesTable[[Code]:[Code]],CodeMinutesTable[[Minutes]:[Minutes]]) *_xlfn.XLOOKUP(I$1,'Provider Rates'!$A$2:$A$15,'Provider Rates'!$C$2:$C$15)</f>
        <v>460</v>
      </c>
      <c r="J85" s="6" cm="1">
        <f t="array" ref="J85">_xlfn.XLOOKUP($B85,CodeMinutesTable[[Code]:[Code]],CodeMinutesTable[[Minutes]:[Minutes]]) *_xlfn.XLOOKUP(J$1,'Provider Rates'!$A$2:$A$15,'Provider Rates'!$C$2:$C$15)</f>
        <v>421.66666666666663</v>
      </c>
      <c r="K85" s="6" cm="1">
        <f t="array" ref="K85">_xlfn.XLOOKUP($B85,CodeMinutesTable[[Code]:[Code]],CodeMinutesTable[[Minutes]:[Minutes]]) *_xlfn.XLOOKUP(K$1,'Provider Rates'!$A$2:$A$15,'Provider Rates'!$C$2:$C$15)</f>
        <v>383.33333333333337</v>
      </c>
      <c r="L85" s="6" cm="1">
        <f t="array" ref="L85">_xlfn.XLOOKUP($B85,CodeMinutesTable[[Code]:[Code]],CodeMinutesTable[[Minutes]:[Minutes]]) *_xlfn.XLOOKUP(L$1,'Provider Rates'!$A$2:$A$15,'Provider Rates'!$C$2:$C$15)</f>
        <v>345</v>
      </c>
      <c r="M85" s="6" cm="1">
        <f t="array" ref="M85">_xlfn.XLOOKUP($B85,CodeMinutesTable[[Code]:[Code]],CodeMinutesTable[[Minutes]:[Minutes]]) *_xlfn.XLOOKUP(M$1,'Provider Rates'!$A$2:$A$15,'Provider Rates'!$C$2:$C$15)</f>
        <v>306.66666666666669</v>
      </c>
      <c r="N85" s="6" cm="1">
        <f t="array" ref="N85">_xlfn.XLOOKUP($B85,CodeMinutesTable[[Code]:[Code]],CodeMinutesTable[[Minutes]:[Minutes]]) *_xlfn.XLOOKUP(N$1,'Provider Rates'!$A$2:$A$15,'Provider Rates'!$C$2:$C$15)</f>
        <v>268.33333333333331</v>
      </c>
      <c r="O85" s="6" cm="1">
        <f t="array" ref="O85">_xlfn.XLOOKUP($B85,CodeMinutesTable[[Code]:[Code]],CodeMinutesTable[[Minutes]:[Minutes]]) *_xlfn.XLOOKUP(O$1,'Provider Rates'!$A$2:$A$15,'Provider Rates'!$C$2:$C$15)</f>
        <v>230</v>
      </c>
      <c r="P85" s="6" cm="1">
        <f t="array" ref="P85">_xlfn.XLOOKUP($B85,CodeMinutesTable[[Code]:[Code]],CodeMinutesTable[[Minutes]:[Minutes]]) *_xlfn.XLOOKUP(P$1,'Provider Rates'!$A$2:$A$15,'Provider Rates'!$C$2:$C$15)</f>
        <v>153.33333333333334</v>
      </c>
      <c r="Q85" s="6">
        <f>VLOOKUP($B85, CodeMinutesTable[[Code]:[Minutes]], 3, FALSE) * VLOOKUP(Q$1, ProviderRatesTable[], 3, FALSE)</f>
        <v>115</v>
      </c>
    </row>
    <row r="86" spans="1:17" hidden="1" x14ac:dyDescent="0.25">
      <c r="A86" s="3" t="str">
        <f>INDEX(CodeMinutesTable[Frequently Used],MATCH(CodeRatesTable[[#This Row],[Billing Code]],CodeMinutesTable[Code],0))</f>
        <v>No</v>
      </c>
      <c r="B86" s="3" t="s">
        <v>206</v>
      </c>
      <c r="C86" t="s">
        <v>207</v>
      </c>
      <c r="D86" s="6">
        <f>VLOOKUP($B86, CodeMinutesTable[[Code]:[Minutes]], 3, FALSE) * VLOOKUP(D$1, ProviderRatesTable[], 3, FALSE)</f>
        <v>1133.3333333333333</v>
      </c>
      <c r="E86" s="6" cm="1">
        <f t="array" ref="E86">_xlfn.XLOOKUP($B86,CodeMinutesTable[[Code]:[Code]],CodeMinutesTable[[Minutes]:[Minutes]]) *_xlfn.XLOOKUP(E$1,'Provider Rates'!$A$2:$A$15,'Provider Rates'!$C$2:$C$15)</f>
        <v>1066.6666666666667</v>
      </c>
      <c r="F86" s="6" cm="1">
        <f t="array" ref="F86">_xlfn.XLOOKUP($B86,CodeMinutesTable[[Code]:[Code]],CodeMinutesTable[[Minutes]:[Minutes]]) *_xlfn.XLOOKUP(F$1,'Provider Rates'!$A$2:$A$15,'Provider Rates'!$C$2:$C$15)</f>
        <v>1000</v>
      </c>
      <c r="G86" s="6" cm="1">
        <f t="array" ref="G86">_xlfn.XLOOKUP($B86,CodeMinutesTable[[Code]:[Code]],CodeMinutesTable[[Minutes]:[Minutes]]) *_xlfn.XLOOKUP(G$1,'Provider Rates'!$A$2:$A$15,'Provider Rates'!$C$2:$C$15)</f>
        <v>933.33333333333326</v>
      </c>
      <c r="H86" s="6" cm="1">
        <f t="array" ref="H86">_xlfn.XLOOKUP($B86,CodeMinutesTable[[Code]:[Code]],CodeMinutesTable[[Minutes]:[Minutes]]) *_xlfn.XLOOKUP(H$1,'Provider Rates'!$A$2:$A$15,'Provider Rates'!$C$2:$C$15)</f>
        <v>866.66666666666674</v>
      </c>
      <c r="I86" s="6" cm="1">
        <f t="array" ref="I86">_xlfn.XLOOKUP($B86,CodeMinutesTable[[Code]:[Code]],CodeMinutesTable[[Minutes]:[Minutes]]) *_xlfn.XLOOKUP(I$1,'Provider Rates'!$A$2:$A$15,'Provider Rates'!$C$2:$C$15)</f>
        <v>800</v>
      </c>
      <c r="J86" s="6" cm="1">
        <f t="array" ref="J86">_xlfn.XLOOKUP($B86,CodeMinutesTable[[Code]:[Code]],CodeMinutesTable[[Minutes]:[Minutes]]) *_xlfn.XLOOKUP(J$1,'Provider Rates'!$A$2:$A$15,'Provider Rates'!$C$2:$C$15)</f>
        <v>733.33333333333326</v>
      </c>
      <c r="K86" s="6" cm="1">
        <f t="array" ref="K86">_xlfn.XLOOKUP($B86,CodeMinutesTable[[Code]:[Code]],CodeMinutesTable[[Minutes]:[Minutes]]) *_xlfn.XLOOKUP(K$1,'Provider Rates'!$A$2:$A$15,'Provider Rates'!$C$2:$C$15)</f>
        <v>666.66666666666674</v>
      </c>
      <c r="L86" s="6" cm="1">
        <f t="array" ref="L86">_xlfn.XLOOKUP($B86,CodeMinutesTable[[Code]:[Code]],CodeMinutesTable[[Minutes]:[Minutes]]) *_xlfn.XLOOKUP(L$1,'Provider Rates'!$A$2:$A$15,'Provider Rates'!$C$2:$C$15)</f>
        <v>600</v>
      </c>
      <c r="M86" s="6" cm="1">
        <f t="array" ref="M86">_xlfn.XLOOKUP($B86,CodeMinutesTable[[Code]:[Code]],CodeMinutesTable[[Minutes]:[Minutes]]) *_xlfn.XLOOKUP(M$1,'Provider Rates'!$A$2:$A$15,'Provider Rates'!$C$2:$C$15)</f>
        <v>533.33333333333337</v>
      </c>
      <c r="N86" s="6" cm="1">
        <f t="array" ref="N86">_xlfn.XLOOKUP($B86,CodeMinutesTable[[Code]:[Code]],CodeMinutesTable[[Minutes]:[Minutes]]) *_xlfn.XLOOKUP(N$1,'Provider Rates'!$A$2:$A$15,'Provider Rates'!$C$2:$C$15)</f>
        <v>466.66666666666663</v>
      </c>
      <c r="O86" s="6" cm="1">
        <f t="array" ref="O86">_xlfn.XLOOKUP($B86,CodeMinutesTable[[Code]:[Code]],CodeMinutesTable[[Minutes]:[Minutes]]) *_xlfn.XLOOKUP(O$1,'Provider Rates'!$A$2:$A$15,'Provider Rates'!$C$2:$C$15)</f>
        <v>400</v>
      </c>
      <c r="P86" s="6" cm="1">
        <f t="array" ref="P86">_xlfn.XLOOKUP($B86,CodeMinutesTable[[Code]:[Code]],CodeMinutesTable[[Minutes]:[Minutes]]) *_xlfn.XLOOKUP(P$1,'Provider Rates'!$A$2:$A$15,'Provider Rates'!$C$2:$C$15)</f>
        <v>266.66666666666669</v>
      </c>
      <c r="Q86" s="6">
        <f>VLOOKUP($B86, CodeMinutesTable[[Code]:[Minutes]], 3, FALSE) * VLOOKUP(Q$1, ProviderRatesTable[], 3, FALSE)</f>
        <v>200</v>
      </c>
    </row>
    <row r="87" spans="1:17" hidden="1" x14ac:dyDescent="0.25">
      <c r="A87" s="3" t="str">
        <f>INDEX(CodeMinutesTable[Frequently Used],MATCH(CodeRatesTable[[#This Row],[Billing Code]],CodeMinutesTable[Code],0))</f>
        <v>No</v>
      </c>
      <c r="B87" s="3" t="s">
        <v>208</v>
      </c>
      <c r="C87" t="s">
        <v>209</v>
      </c>
      <c r="D87" s="6">
        <f>VLOOKUP($B87, CodeMinutesTable[[Code]:[Minutes]], 3, FALSE) * VLOOKUP(D$1, ProviderRatesTable[], 3, FALSE)</f>
        <v>1700</v>
      </c>
      <c r="E87" s="6" cm="1">
        <f t="array" ref="E87">_xlfn.XLOOKUP($B87,CodeMinutesTable[[Code]:[Code]],CodeMinutesTable[[Minutes]:[Minutes]]) *_xlfn.XLOOKUP(E$1,'Provider Rates'!$A$2:$A$15,'Provider Rates'!$C$2:$C$15)</f>
        <v>1600</v>
      </c>
      <c r="F87" s="6" cm="1">
        <f t="array" ref="F87">_xlfn.XLOOKUP($B87,CodeMinutesTable[[Code]:[Code]],CodeMinutesTable[[Minutes]:[Minutes]]) *_xlfn.XLOOKUP(F$1,'Provider Rates'!$A$2:$A$15,'Provider Rates'!$C$2:$C$15)</f>
        <v>1500</v>
      </c>
      <c r="G87" s="6" cm="1">
        <f t="array" ref="G87">_xlfn.XLOOKUP($B87,CodeMinutesTable[[Code]:[Code]],CodeMinutesTable[[Minutes]:[Minutes]]) *_xlfn.XLOOKUP(G$1,'Provider Rates'!$A$2:$A$15,'Provider Rates'!$C$2:$C$15)</f>
        <v>1400</v>
      </c>
      <c r="H87" s="6" cm="1">
        <f t="array" ref="H87">_xlfn.XLOOKUP($B87,CodeMinutesTable[[Code]:[Code]],CodeMinutesTable[[Minutes]:[Minutes]]) *_xlfn.XLOOKUP(H$1,'Provider Rates'!$A$2:$A$15,'Provider Rates'!$C$2:$C$15)</f>
        <v>1300</v>
      </c>
      <c r="I87" s="6" cm="1">
        <f t="array" ref="I87">_xlfn.XLOOKUP($B87,CodeMinutesTable[[Code]:[Code]],CodeMinutesTable[[Minutes]:[Minutes]]) *_xlfn.XLOOKUP(I$1,'Provider Rates'!$A$2:$A$15,'Provider Rates'!$C$2:$C$15)</f>
        <v>1200</v>
      </c>
      <c r="J87" s="6" cm="1">
        <f t="array" ref="J87">_xlfn.XLOOKUP($B87,CodeMinutesTable[[Code]:[Code]],CodeMinutesTable[[Minutes]:[Minutes]]) *_xlfn.XLOOKUP(J$1,'Provider Rates'!$A$2:$A$15,'Provider Rates'!$C$2:$C$15)</f>
        <v>1100</v>
      </c>
      <c r="K87" s="6" cm="1">
        <f t="array" ref="K87">_xlfn.XLOOKUP($B87,CodeMinutesTable[[Code]:[Code]],CodeMinutesTable[[Minutes]:[Minutes]]) *_xlfn.XLOOKUP(K$1,'Provider Rates'!$A$2:$A$15,'Provider Rates'!$C$2:$C$15)</f>
        <v>1000.0000000000001</v>
      </c>
      <c r="L87" s="6" cm="1">
        <f t="array" ref="L87">_xlfn.XLOOKUP($B87,CodeMinutesTable[[Code]:[Code]],CodeMinutesTable[[Minutes]:[Minutes]]) *_xlfn.XLOOKUP(L$1,'Provider Rates'!$A$2:$A$15,'Provider Rates'!$C$2:$C$15)</f>
        <v>900</v>
      </c>
      <c r="M87" s="6" cm="1">
        <f t="array" ref="M87">_xlfn.XLOOKUP($B87,CodeMinutesTable[[Code]:[Code]],CodeMinutesTable[[Minutes]:[Minutes]]) *_xlfn.XLOOKUP(M$1,'Provider Rates'!$A$2:$A$15,'Provider Rates'!$C$2:$C$15)</f>
        <v>800</v>
      </c>
      <c r="N87" s="6" cm="1">
        <f t="array" ref="N87">_xlfn.XLOOKUP($B87,CodeMinutesTable[[Code]:[Code]],CodeMinutesTable[[Minutes]:[Minutes]]) *_xlfn.XLOOKUP(N$1,'Provider Rates'!$A$2:$A$15,'Provider Rates'!$C$2:$C$15)</f>
        <v>700</v>
      </c>
      <c r="O87" s="6" cm="1">
        <f t="array" ref="O87">_xlfn.XLOOKUP($B87,CodeMinutesTable[[Code]:[Code]],CodeMinutesTable[[Minutes]:[Minutes]]) *_xlfn.XLOOKUP(O$1,'Provider Rates'!$A$2:$A$15,'Provider Rates'!$C$2:$C$15)</f>
        <v>600</v>
      </c>
      <c r="P87" s="6" cm="1">
        <f t="array" ref="P87">_xlfn.XLOOKUP($B87,CodeMinutesTable[[Code]:[Code]],CodeMinutesTable[[Minutes]:[Minutes]]) *_xlfn.XLOOKUP(P$1,'Provider Rates'!$A$2:$A$15,'Provider Rates'!$C$2:$C$15)</f>
        <v>400</v>
      </c>
      <c r="Q87" s="6">
        <f>VLOOKUP($B87, CodeMinutesTable[[Code]:[Minutes]], 3, FALSE) * VLOOKUP(Q$1, ProviderRatesTable[], 3, FALSE)</f>
        <v>300</v>
      </c>
    </row>
    <row r="88" spans="1:17" hidden="1" x14ac:dyDescent="0.25">
      <c r="A88" s="3" t="str">
        <f>INDEX(CodeMinutesTable[Frequently Used],MATCH(CodeRatesTable[[#This Row],[Billing Code]],CodeMinutesTable[Code],0))</f>
        <v>No</v>
      </c>
      <c r="B88" s="3" t="s">
        <v>210</v>
      </c>
      <c r="C88" t="s">
        <v>211</v>
      </c>
      <c r="D88" s="6">
        <f>VLOOKUP($B88, CodeMinutesTable[[Code]:[Minutes]], 3, FALSE) * VLOOKUP(D$1, ProviderRatesTable[], 3, FALSE)</f>
        <v>2266.6666666666665</v>
      </c>
      <c r="E88" s="6" cm="1">
        <f t="array" ref="E88">_xlfn.XLOOKUP($B88,CodeMinutesTable[[Code]:[Code]],CodeMinutesTable[[Minutes]:[Minutes]]) *_xlfn.XLOOKUP(E$1,'Provider Rates'!$A$2:$A$15,'Provider Rates'!$C$2:$C$15)</f>
        <v>2133.3333333333335</v>
      </c>
      <c r="F88" s="6" cm="1">
        <f t="array" ref="F88">_xlfn.XLOOKUP($B88,CodeMinutesTable[[Code]:[Code]],CodeMinutesTable[[Minutes]:[Minutes]]) *_xlfn.XLOOKUP(F$1,'Provider Rates'!$A$2:$A$15,'Provider Rates'!$C$2:$C$15)</f>
        <v>2000</v>
      </c>
      <c r="G88" s="6" cm="1">
        <f t="array" ref="G88">_xlfn.XLOOKUP($B88,CodeMinutesTable[[Code]:[Code]],CodeMinutesTable[[Minutes]:[Minutes]]) *_xlfn.XLOOKUP(G$1,'Provider Rates'!$A$2:$A$15,'Provider Rates'!$C$2:$C$15)</f>
        <v>1866.6666666666665</v>
      </c>
      <c r="H88" s="6" cm="1">
        <f t="array" ref="H88">_xlfn.XLOOKUP($B88,CodeMinutesTable[[Code]:[Code]],CodeMinutesTable[[Minutes]:[Minutes]]) *_xlfn.XLOOKUP(H$1,'Provider Rates'!$A$2:$A$15,'Provider Rates'!$C$2:$C$15)</f>
        <v>1733.3333333333335</v>
      </c>
      <c r="I88" s="6" cm="1">
        <f t="array" ref="I88">_xlfn.XLOOKUP($B88,CodeMinutesTable[[Code]:[Code]],CodeMinutesTable[[Minutes]:[Minutes]]) *_xlfn.XLOOKUP(I$1,'Provider Rates'!$A$2:$A$15,'Provider Rates'!$C$2:$C$15)</f>
        <v>1600</v>
      </c>
      <c r="J88" s="6" cm="1">
        <f t="array" ref="J88">_xlfn.XLOOKUP($B88,CodeMinutesTable[[Code]:[Code]],CodeMinutesTable[[Minutes]:[Minutes]]) *_xlfn.XLOOKUP(J$1,'Provider Rates'!$A$2:$A$15,'Provider Rates'!$C$2:$C$15)</f>
        <v>1466.6666666666665</v>
      </c>
      <c r="K88" s="6" cm="1">
        <f t="array" ref="K88">_xlfn.XLOOKUP($B88,CodeMinutesTable[[Code]:[Code]],CodeMinutesTable[[Minutes]:[Minutes]]) *_xlfn.XLOOKUP(K$1,'Provider Rates'!$A$2:$A$15,'Provider Rates'!$C$2:$C$15)</f>
        <v>1333.3333333333335</v>
      </c>
      <c r="L88" s="6" cm="1">
        <f t="array" ref="L88">_xlfn.XLOOKUP($B88,CodeMinutesTable[[Code]:[Code]],CodeMinutesTable[[Minutes]:[Minutes]]) *_xlfn.XLOOKUP(L$1,'Provider Rates'!$A$2:$A$15,'Provider Rates'!$C$2:$C$15)</f>
        <v>1200</v>
      </c>
      <c r="M88" s="6" cm="1">
        <f t="array" ref="M88">_xlfn.XLOOKUP($B88,CodeMinutesTable[[Code]:[Code]],CodeMinutesTable[[Minutes]:[Minutes]]) *_xlfn.XLOOKUP(M$1,'Provider Rates'!$A$2:$A$15,'Provider Rates'!$C$2:$C$15)</f>
        <v>1066.6666666666667</v>
      </c>
      <c r="N88" s="6" cm="1">
        <f t="array" ref="N88">_xlfn.XLOOKUP($B88,CodeMinutesTable[[Code]:[Code]],CodeMinutesTable[[Minutes]:[Minutes]]) *_xlfn.XLOOKUP(N$1,'Provider Rates'!$A$2:$A$15,'Provider Rates'!$C$2:$C$15)</f>
        <v>933.33333333333326</v>
      </c>
      <c r="O88" s="6" cm="1">
        <f t="array" ref="O88">_xlfn.XLOOKUP($B88,CodeMinutesTable[[Code]:[Code]],CodeMinutesTable[[Minutes]:[Minutes]]) *_xlfn.XLOOKUP(O$1,'Provider Rates'!$A$2:$A$15,'Provider Rates'!$C$2:$C$15)</f>
        <v>800</v>
      </c>
      <c r="P88" s="6" cm="1">
        <f t="array" ref="P88">_xlfn.XLOOKUP($B88,CodeMinutesTable[[Code]:[Code]],CodeMinutesTable[[Minutes]:[Minutes]]) *_xlfn.XLOOKUP(P$1,'Provider Rates'!$A$2:$A$15,'Provider Rates'!$C$2:$C$15)</f>
        <v>533.33333333333337</v>
      </c>
      <c r="Q88" s="6">
        <f>VLOOKUP($B88, CodeMinutesTable[[Code]:[Minutes]], 3, FALSE) * VLOOKUP(Q$1, ProviderRatesTable[], 3, FALSE)</f>
        <v>400</v>
      </c>
    </row>
    <row r="89" spans="1:17" hidden="1" x14ac:dyDescent="0.25">
      <c r="A89" s="3" t="str">
        <f>INDEX(CodeMinutesTable[Frequently Used],MATCH(CodeRatesTable[[#This Row],[Billing Code]],CodeMinutesTable[Code],0))</f>
        <v>No</v>
      </c>
      <c r="B89" s="3" t="s">
        <v>212</v>
      </c>
      <c r="C89" t="s">
        <v>213</v>
      </c>
      <c r="D89" s="6">
        <f>VLOOKUP($B89, CodeMinutesTable[[Code]:[Minutes]], 3, FALSE) * VLOOKUP(D$1, ProviderRatesTable[], 3, FALSE)</f>
        <v>3145</v>
      </c>
      <c r="E89" s="6" cm="1">
        <f t="array" ref="E89">_xlfn.XLOOKUP($B89,CodeMinutesTable[[Code]:[Code]],CodeMinutesTable[[Minutes]:[Minutes]]) *_xlfn.XLOOKUP(E$1,'Provider Rates'!$A$2:$A$15,'Provider Rates'!$C$2:$C$15)</f>
        <v>2960</v>
      </c>
      <c r="F89" s="6" cm="1">
        <f t="array" ref="F89">_xlfn.XLOOKUP($B89,CodeMinutesTable[[Code]:[Code]],CodeMinutesTable[[Minutes]:[Minutes]]) *_xlfn.XLOOKUP(F$1,'Provider Rates'!$A$2:$A$15,'Provider Rates'!$C$2:$C$15)</f>
        <v>2775</v>
      </c>
      <c r="G89" s="6" cm="1">
        <f t="array" ref="G89">_xlfn.XLOOKUP($B89,CodeMinutesTable[[Code]:[Code]],CodeMinutesTable[[Minutes]:[Minutes]]) *_xlfn.XLOOKUP(G$1,'Provider Rates'!$A$2:$A$15,'Provider Rates'!$C$2:$C$15)</f>
        <v>2590</v>
      </c>
      <c r="H89" s="6" cm="1">
        <f t="array" ref="H89">_xlfn.XLOOKUP($B89,CodeMinutesTable[[Code]:[Code]],CodeMinutesTable[[Minutes]:[Minutes]]) *_xlfn.XLOOKUP(H$1,'Provider Rates'!$A$2:$A$15,'Provider Rates'!$C$2:$C$15)</f>
        <v>2405</v>
      </c>
      <c r="I89" s="6" cm="1">
        <f t="array" ref="I89">_xlfn.XLOOKUP($B89,CodeMinutesTable[[Code]:[Code]],CodeMinutesTable[[Minutes]:[Minutes]]) *_xlfn.XLOOKUP(I$1,'Provider Rates'!$A$2:$A$15,'Provider Rates'!$C$2:$C$15)</f>
        <v>2220</v>
      </c>
      <c r="J89" s="6" cm="1">
        <f t="array" ref="J89">_xlfn.XLOOKUP($B89,CodeMinutesTable[[Code]:[Code]],CodeMinutesTable[[Minutes]:[Minutes]]) *_xlfn.XLOOKUP(J$1,'Provider Rates'!$A$2:$A$15,'Provider Rates'!$C$2:$C$15)</f>
        <v>2034.9999999999998</v>
      </c>
      <c r="K89" s="6" cm="1">
        <f t="array" ref="K89">_xlfn.XLOOKUP($B89,CodeMinutesTable[[Code]:[Code]],CodeMinutesTable[[Minutes]:[Minutes]]) *_xlfn.XLOOKUP(K$1,'Provider Rates'!$A$2:$A$15,'Provider Rates'!$C$2:$C$15)</f>
        <v>1850.0000000000002</v>
      </c>
      <c r="L89" s="6" cm="1">
        <f t="array" ref="L89">_xlfn.XLOOKUP($B89,CodeMinutesTable[[Code]:[Code]],CodeMinutesTable[[Minutes]:[Minutes]]) *_xlfn.XLOOKUP(L$1,'Provider Rates'!$A$2:$A$15,'Provider Rates'!$C$2:$C$15)</f>
        <v>1665</v>
      </c>
      <c r="M89" s="6" cm="1">
        <f t="array" ref="M89">_xlfn.XLOOKUP($B89,CodeMinutesTable[[Code]:[Code]],CodeMinutesTable[[Minutes]:[Minutes]]) *_xlfn.XLOOKUP(M$1,'Provider Rates'!$A$2:$A$15,'Provider Rates'!$C$2:$C$15)</f>
        <v>1480</v>
      </c>
      <c r="N89" s="6" cm="1">
        <f t="array" ref="N89">_xlfn.XLOOKUP($B89,CodeMinutesTable[[Code]:[Code]],CodeMinutesTable[[Minutes]:[Minutes]]) *_xlfn.XLOOKUP(N$1,'Provider Rates'!$A$2:$A$15,'Provider Rates'!$C$2:$C$15)</f>
        <v>1295</v>
      </c>
      <c r="O89" s="6" cm="1">
        <f t="array" ref="O89">_xlfn.XLOOKUP($B89,CodeMinutesTable[[Code]:[Code]],CodeMinutesTable[[Minutes]:[Minutes]]) *_xlfn.XLOOKUP(O$1,'Provider Rates'!$A$2:$A$15,'Provider Rates'!$C$2:$C$15)</f>
        <v>1110</v>
      </c>
      <c r="P89" s="6" cm="1">
        <f t="array" ref="P89">_xlfn.XLOOKUP($B89,CodeMinutesTable[[Code]:[Code]],CodeMinutesTable[[Minutes]:[Minutes]]) *_xlfn.XLOOKUP(P$1,'Provider Rates'!$A$2:$A$15,'Provider Rates'!$C$2:$C$15)</f>
        <v>740</v>
      </c>
      <c r="Q89" s="6">
        <f>VLOOKUP($B89, CodeMinutesTable[[Code]:[Minutes]], 3, FALSE) * VLOOKUP(Q$1, ProviderRatesTable[], 3, FALSE)</f>
        <v>555</v>
      </c>
    </row>
    <row r="90" spans="1:17" hidden="1" x14ac:dyDescent="0.25">
      <c r="A90" s="3" t="str">
        <f>INDEX(CodeMinutesTable[Frequently Used],MATCH(CodeRatesTable[[#This Row],[Billing Code]],CodeMinutesTable[Code],0))</f>
        <v>No</v>
      </c>
      <c r="B90" s="3" t="s">
        <v>214</v>
      </c>
      <c r="C90" t="s">
        <v>215</v>
      </c>
      <c r="D90" s="6">
        <f>VLOOKUP($B90, CodeMinutesTable[[Code]:[Minutes]], 3, FALSE) * VLOOKUP(D$1, ProviderRatesTable[], 3, FALSE)</f>
        <v>651.66666666666663</v>
      </c>
      <c r="E90" s="6" cm="1">
        <f t="array" ref="E90">_xlfn.XLOOKUP($B90,CodeMinutesTable[[Code]:[Code]],CodeMinutesTable[[Minutes]:[Minutes]]) *_xlfn.XLOOKUP(E$1,'Provider Rates'!$A$2:$A$15,'Provider Rates'!$C$2:$C$15)</f>
        <v>613.33333333333337</v>
      </c>
      <c r="F90" s="6" cm="1">
        <f t="array" ref="F90">_xlfn.XLOOKUP($B90,CodeMinutesTable[[Code]:[Code]],CodeMinutesTable[[Minutes]:[Minutes]]) *_xlfn.XLOOKUP(F$1,'Provider Rates'!$A$2:$A$15,'Provider Rates'!$C$2:$C$15)</f>
        <v>575</v>
      </c>
      <c r="G90" s="6" cm="1">
        <f t="array" ref="G90">_xlfn.XLOOKUP($B90,CodeMinutesTable[[Code]:[Code]],CodeMinutesTable[[Minutes]:[Minutes]]) *_xlfn.XLOOKUP(G$1,'Provider Rates'!$A$2:$A$15,'Provider Rates'!$C$2:$C$15)</f>
        <v>536.66666666666663</v>
      </c>
      <c r="H90" s="6" cm="1">
        <f t="array" ref="H90">_xlfn.XLOOKUP($B90,CodeMinutesTable[[Code]:[Code]],CodeMinutesTable[[Minutes]:[Minutes]]) *_xlfn.XLOOKUP(H$1,'Provider Rates'!$A$2:$A$15,'Provider Rates'!$C$2:$C$15)</f>
        <v>498.33333333333337</v>
      </c>
      <c r="I90" s="6" cm="1">
        <f t="array" ref="I90">_xlfn.XLOOKUP($B90,CodeMinutesTable[[Code]:[Code]],CodeMinutesTable[[Minutes]:[Minutes]]) *_xlfn.XLOOKUP(I$1,'Provider Rates'!$A$2:$A$15,'Provider Rates'!$C$2:$C$15)</f>
        <v>460</v>
      </c>
      <c r="J90" s="6" cm="1">
        <f t="array" ref="J90">_xlfn.XLOOKUP($B90,CodeMinutesTable[[Code]:[Code]],CodeMinutesTable[[Minutes]:[Minutes]]) *_xlfn.XLOOKUP(J$1,'Provider Rates'!$A$2:$A$15,'Provider Rates'!$C$2:$C$15)</f>
        <v>421.66666666666663</v>
      </c>
      <c r="K90" s="6" cm="1">
        <f t="array" ref="K90">_xlfn.XLOOKUP($B90,CodeMinutesTable[[Code]:[Code]],CodeMinutesTable[[Minutes]:[Minutes]]) *_xlfn.XLOOKUP(K$1,'Provider Rates'!$A$2:$A$15,'Provider Rates'!$C$2:$C$15)</f>
        <v>383.33333333333337</v>
      </c>
      <c r="L90" s="6" cm="1">
        <f t="array" ref="L90">_xlfn.XLOOKUP($B90,CodeMinutesTable[[Code]:[Code]],CodeMinutesTable[[Minutes]:[Minutes]]) *_xlfn.XLOOKUP(L$1,'Provider Rates'!$A$2:$A$15,'Provider Rates'!$C$2:$C$15)</f>
        <v>345</v>
      </c>
      <c r="M90" s="6" cm="1">
        <f t="array" ref="M90">_xlfn.XLOOKUP($B90,CodeMinutesTable[[Code]:[Code]],CodeMinutesTable[[Minutes]:[Minutes]]) *_xlfn.XLOOKUP(M$1,'Provider Rates'!$A$2:$A$15,'Provider Rates'!$C$2:$C$15)</f>
        <v>306.66666666666669</v>
      </c>
      <c r="N90" s="6" cm="1">
        <f t="array" ref="N90">_xlfn.XLOOKUP($B90,CodeMinutesTable[[Code]:[Code]],CodeMinutesTable[[Minutes]:[Minutes]]) *_xlfn.XLOOKUP(N$1,'Provider Rates'!$A$2:$A$15,'Provider Rates'!$C$2:$C$15)</f>
        <v>268.33333333333331</v>
      </c>
      <c r="O90" s="6" cm="1">
        <f t="array" ref="O90">_xlfn.XLOOKUP($B90,CodeMinutesTable[[Code]:[Code]],CodeMinutesTable[[Minutes]:[Minutes]]) *_xlfn.XLOOKUP(O$1,'Provider Rates'!$A$2:$A$15,'Provider Rates'!$C$2:$C$15)</f>
        <v>230</v>
      </c>
      <c r="P90" s="6" cm="1">
        <f t="array" ref="P90">_xlfn.XLOOKUP($B90,CodeMinutesTable[[Code]:[Code]],CodeMinutesTable[[Minutes]:[Minutes]]) *_xlfn.XLOOKUP(P$1,'Provider Rates'!$A$2:$A$15,'Provider Rates'!$C$2:$C$15)</f>
        <v>153.33333333333334</v>
      </c>
      <c r="Q90" s="6">
        <f>VLOOKUP($B90, CodeMinutesTable[[Code]:[Minutes]], 3, FALSE) * VLOOKUP(Q$1, ProviderRatesTable[], 3, FALSE)</f>
        <v>115</v>
      </c>
    </row>
    <row r="91" spans="1:17" hidden="1" x14ac:dyDescent="0.25">
      <c r="A91" s="3" t="str">
        <f>INDEX(CodeMinutesTable[Frequently Used],MATCH(CodeRatesTable[[#This Row],[Billing Code]],CodeMinutesTable[Code],0))</f>
        <v>No</v>
      </c>
      <c r="B91" s="3" t="s">
        <v>216</v>
      </c>
      <c r="C91" t="s">
        <v>217</v>
      </c>
      <c r="D91" s="6">
        <f>VLOOKUP($B91, CodeMinutesTable[[Code]:[Minutes]], 3, FALSE) * VLOOKUP(D$1, ProviderRatesTable[], 3, FALSE)</f>
        <v>991.66666666666663</v>
      </c>
      <c r="E91" s="6" cm="1">
        <f t="array" ref="E91">_xlfn.XLOOKUP($B91,CodeMinutesTable[[Code]:[Code]],CodeMinutesTable[[Minutes]:[Minutes]]) *_xlfn.XLOOKUP(E$1,'Provider Rates'!$A$2:$A$15,'Provider Rates'!$C$2:$C$15)</f>
        <v>933.33333333333337</v>
      </c>
      <c r="F91" s="6" cm="1">
        <f t="array" ref="F91">_xlfn.XLOOKUP($B91,CodeMinutesTable[[Code]:[Code]],CodeMinutesTable[[Minutes]:[Minutes]]) *_xlfn.XLOOKUP(F$1,'Provider Rates'!$A$2:$A$15,'Provider Rates'!$C$2:$C$15)</f>
        <v>875</v>
      </c>
      <c r="G91" s="6" cm="1">
        <f t="array" ref="G91">_xlfn.XLOOKUP($B91,CodeMinutesTable[[Code]:[Code]],CodeMinutesTable[[Minutes]:[Minutes]]) *_xlfn.XLOOKUP(G$1,'Provider Rates'!$A$2:$A$15,'Provider Rates'!$C$2:$C$15)</f>
        <v>816.66666666666663</v>
      </c>
      <c r="H91" s="6" cm="1">
        <f t="array" ref="H91">_xlfn.XLOOKUP($B91,CodeMinutesTable[[Code]:[Code]],CodeMinutesTable[[Minutes]:[Minutes]]) *_xlfn.XLOOKUP(H$1,'Provider Rates'!$A$2:$A$15,'Provider Rates'!$C$2:$C$15)</f>
        <v>758.33333333333337</v>
      </c>
      <c r="I91" s="6" cm="1">
        <f t="array" ref="I91">_xlfn.XLOOKUP($B91,CodeMinutesTable[[Code]:[Code]],CodeMinutesTable[[Minutes]:[Minutes]]) *_xlfn.XLOOKUP(I$1,'Provider Rates'!$A$2:$A$15,'Provider Rates'!$C$2:$C$15)</f>
        <v>700</v>
      </c>
      <c r="J91" s="6" cm="1">
        <f t="array" ref="J91">_xlfn.XLOOKUP($B91,CodeMinutesTable[[Code]:[Code]],CodeMinutesTable[[Minutes]:[Minutes]]) *_xlfn.XLOOKUP(J$1,'Provider Rates'!$A$2:$A$15,'Provider Rates'!$C$2:$C$15)</f>
        <v>641.66666666666663</v>
      </c>
      <c r="K91" s="6" cm="1">
        <f t="array" ref="K91">_xlfn.XLOOKUP($B91,CodeMinutesTable[[Code]:[Code]],CodeMinutesTable[[Minutes]:[Minutes]]) *_xlfn.XLOOKUP(K$1,'Provider Rates'!$A$2:$A$15,'Provider Rates'!$C$2:$C$15)</f>
        <v>583.33333333333337</v>
      </c>
      <c r="L91" s="6" cm="1">
        <f t="array" ref="L91">_xlfn.XLOOKUP($B91,CodeMinutesTable[[Code]:[Code]],CodeMinutesTable[[Minutes]:[Minutes]]) *_xlfn.XLOOKUP(L$1,'Provider Rates'!$A$2:$A$15,'Provider Rates'!$C$2:$C$15)</f>
        <v>525</v>
      </c>
      <c r="M91" s="6" cm="1">
        <f t="array" ref="M91">_xlfn.XLOOKUP($B91,CodeMinutesTable[[Code]:[Code]],CodeMinutesTable[[Minutes]:[Minutes]]) *_xlfn.XLOOKUP(M$1,'Provider Rates'!$A$2:$A$15,'Provider Rates'!$C$2:$C$15)</f>
        <v>466.66666666666669</v>
      </c>
      <c r="N91" s="6" cm="1">
        <f t="array" ref="N91">_xlfn.XLOOKUP($B91,CodeMinutesTable[[Code]:[Code]],CodeMinutesTable[[Minutes]:[Minutes]]) *_xlfn.XLOOKUP(N$1,'Provider Rates'!$A$2:$A$15,'Provider Rates'!$C$2:$C$15)</f>
        <v>408.33333333333331</v>
      </c>
      <c r="O91" s="6" cm="1">
        <f t="array" ref="O91">_xlfn.XLOOKUP($B91,CodeMinutesTable[[Code]:[Code]],CodeMinutesTable[[Minutes]:[Minutes]]) *_xlfn.XLOOKUP(O$1,'Provider Rates'!$A$2:$A$15,'Provider Rates'!$C$2:$C$15)</f>
        <v>350</v>
      </c>
      <c r="P91" s="6" cm="1">
        <f t="array" ref="P91">_xlfn.XLOOKUP($B91,CodeMinutesTable[[Code]:[Code]],CodeMinutesTable[[Minutes]:[Minutes]]) *_xlfn.XLOOKUP(P$1,'Provider Rates'!$A$2:$A$15,'Provider Rates'!$C$2:$C$15)</f>
        <v>233.33333333333334</v>
      </c>
      <c r="Q91" s="6">
        <f>VLOOKUP($B91, CodeMinutesTable[[Code]:[Minutes]], 3, FALSE) * VLOOKUP(Q$1, ProviderRatesTable[], 3, FALSE)</f>
        <v>175</v>
      </c>
    </row>
    <row r="92" spans="1:17" hidden="1" x14ac:dyDescent="0.25">
      <c r="A92" s="3" t="str">
        <f>INDEX(CodeMinutesTable[Frequently Used],MATCH(CodeRatesTable[[#This Row],[Billing Code]],CodeMinutesTable[Code],0))</f>
        <v>No</v>
      </c>
      <c r="B92" s="3" t="s">
        <v>218</v>
      </c>
      <c r="C92" t="s">
        <v>219</v>
      </c>
      <c r="D92" s="6">
        <f>VLOOKUP($B92, CodeMinutesTable[[Code]:[Minutes]], 3, FALSE) * VLOOKUP(D$1, ProviderRatesTable[], 3, FALSE)</f>
        <v>1416.6666666666665</v>
      </c>
      <c r="E92" s="6" cm="1">
        <f t="array" ref="E92">_xlfn.XLOOKUP($B92,CodeMinutesTable[[Code]:[Code]],CodeMinutesTable[[Minutes]:[Minutes]]) *_xlfn.XLOOKUP(E$1,'Provider Rates'!$A$2:$A$15,'Provider Rates'!$C$2:$C$15)</f>
        <v>1333.3333333333335</v>
      </c>
      <c r="F92" s="6" cm="1">
        <f t="array" ref="F92">_xlfn.XLOOKUP($B92,CodeMinutesTable[[Code]:[Code]],CodeMinutesTable[[Minutes]:[Minutes]]) *_xlfn.XLOOKUP(F$1,'Provider Rates'!$A$2:$A$15,'Provider Rates'!$C$2:$C$15)</f>
        <v>1250</v>
      </c>
      <c r="G92" s="6" cm="1">
        <f t="array" ref="G92">_xlfn.XLOOKUP($B92,CodeMinutesTable[[Code]:[Code]],CodeMinutesTable[[Minutes]:[Minutes]]) *_xlfn.XLOOKUP(G$1,'Provider Rates'!$A$2:$A$15,'Provider Rates'!$C$2:$C$15)</f>
        <v>1166.6666666666665</v>
      </c>
      <c r="H92" s="6" cm="1">
        <f t="array" ref="H92">_xlfn.XLOOKUP($B92,CodeMinutesTable[[Code]:[Code]],CodeMinutesTable[[Minutes]:[Minutes]]) *_xlfn.XLOOKUP(H$1,'Provider Rates'!$A$2:$A$15,'Provider Rates'!$C$2:$C$15)</f>
        <v>1083.3333333333335</v>
      </c>
      <c r="I92" s="6" cm="1">
        <f t="array" ref="I92">_xlfn.XLOOKUP($B92,CodeMinutesTable[[Code]:[Code]],CodeMinutesTable[[Minutes]:[Minutes]]) *_xlfn.XLOOKUP(I$1,'Provider Rates'!$A$2:$A$15,'Provider Rates'!$C$2:$C$15)</f>
        <v>1000</v>
      </c>
      <c r="J92" s="6" cm="1">
        <f t="array" ref="J92">_xlfn.XLOOKUP($B92,CodeMinutesTable[[Code]:[Code]],CodeMinutesTable[[Minutes]:[Minutes]]) *_xlfn.XLOOKUP(J$1,'Provider Rates'!$A$2:$A$15,'Provider Rates'!$C$2:$C$15)</f>
        <v>916.66666666666663</v>
      </c>
      <c r="K92" s="6" cm="1">
        <f t="array" ref="K92">_xlfn.XLOOKUP($B92,CodeMinutesTable[[Code]:[Code]],CodeMinutesTable[[Minutes]:[Minutes]]) *_xlfn.XLOOKUP(K$1,'Provider Rates'!$A$2:$A$15,'Provider Rates'!$C$2:$C$15)</f>
        <v>833.33333333333337</v>
      </c>
      <c r="L92" s="6" cm="1">
        <f t="array" ref="L92">_xlfn.XLOOKUP($B92,CodeMinutesTable[[Code]:[Code]],CodeMinutesTable[[Minutes]:[Minutes]]) *_xlfn.XLOOKUP(L$1,'Provider Rates'!$A$2:$A$15,'Provider Rates'!$C$2:$C$15)</f>
        <v>750</v>
      </c>
      <c r="M92" s="6" cm="1">
        <f t="array" ref="M92">_xlfn.XLOOKUP($B92,CodeMinutesTable[[Code]:[Code]],CodeMinutesTable[[Minutes]:[Minutes]]) *_xlfn.XLOOKUP(M$1,'Provider Rates'!$A$2:$A$15,'Provider Rates'!$C$2:$C$15)</f>
        <v>666.66666666666674</v>
      </c>
      <c r="N92" s="6" cm="1">
        <f t="array" ref="N92">_xlfn.XLOOKUP($B92,CodeMinutesTable[[Code]:[Code]],CodeMinutesTable[[Minutes]:[Minutes]]) *_xlfn.XLOOKUP(N$1,'Provider Rates'!$A$2:$A$15,'Provider Rates'!$C$2:$C$15)</f>
        <v>583.33333333333326</v>
      </c>
      <c r="O92" s="6" cm="1">
        <f t="array" ref="O92">_xlfn.XLOOKUP($B92,CodeMinutesTable[[Code]:[Code]],CodeMinutesTable[[Minutes]:[Minutes]]) *_xlfn.XLOOKUP(O$1,'Provider Rates'!$A$2:$A$15,'Provider Rates'!$C$2:$C$15)</f>
        <v>500</v>
      </c>
      <c r="P92" s="6" cm="1">
        <f t="array" ref="P92">_xlfn.XLOOKUP($B92,CodeMinutesTable[[Code]:[Code]],CodeMinutesTable[[Minutes]:[Minutes]]) *_xlfn.XLOOKUP(P$1,'Provider Rates'!$A$2:$A$15,'Provider Rates'!$C$2:$C$15)</f>
        <v>333.33333333333337</v>
      </c>
      <c r="Q92" s="6">
        <f>VLOOKUP($B92, CodeMinutesTable[[Code]:[Minutes]], 3, FALSE) * VLOOKUP(Q$1, ProviderRatesTable[], 3, FALSE)</f>
        <v>250</v>
      </c>
    </row>
    <row r="93" spans="1:17" hidden="1" x14ac:dyDescent="0.25">
      <c r="A93" s="3" t="str">
        <f>INDEX(CodeMinutesTable[Frequently Used],MATCH(CodeRatesTable[[#This Row],[Billing Code]],CodeMinutesTable[Code],0))</f>
        <v>No</v>
      </c>
      <c r="B93" s="3" t="s">
        <v>220</v>
      </c>
      <c r="C93" t="s">
        <v>221</v>
      </c>
      <c r="D93" s="6">
        <f>VLOOKUP($B93, CodeMinutesTable[[Code]:[Minutes]], 3, FALSE) * VLOOKUP(D$1, ProviderRatesTable[], 3, FALSE)</f>
        <v>184.16666666666666</v>
      </c>
      <c r="E93" s="6" cm="1">
        <f t="array" ref="E93">_xlfn.XLOOKUP($B93,CodeMinutesTable[[Code]:[Code]],CodeMinutesTable[[Minutes]:[Minutes]]) *_xlfn.XLOOKUP(E$1,'Provider Rates'!$A$2:$A$15,'Provider Rates'!$C$2:$C$15)</f>
        <v>173.33333333333334</v>
      </c>
      <c r="F93" s="6" cm="1">
        <f t="array" ref="F93">_xlfn.XLOOKUP($B93,CodeMinutesTable[[Code]:[Code]],CodeMinutesTable[[Minutes]:[Minutes]]) *_xlfn.XLOOKUP(F$1,'Provider Rates'!$A$2:$A$15,'Provider Rates'!$C$2:$C$15)</f>
        <v>162.5</v>
      </c>
      <c r="G93" s="6" cm="1">
        <f t="array" ref="G93">_xlfn.XLOOKUP($B93,CodeMinutesTable[[Code]:[Code]],CodeMinutesTable[[Minutes]:[Minutes]]) *_xlfn.XLOOKUP(G$1,'Provider Rates'!$A$2:$A$15,'Provider Rates'!$C$2:$C$15)</f>
        <v>151.66666666666666</v>
      </c>
      <c r="H93" s="6" cm="1">
        <f t="array" ref="H93">_xlfn.XLOOKUP($B93,CodeMinutesTable[[Code]:[Code]],CodeMinutesTable[[Minutes]:[Minutes]]) *_xlfn.XLOOKUP(H$1,'Provider Rates'!$A$2:$A$15,'Provider Rates'!$C$2:$C$15)</f>
        <v>140.83333333333334</v>
      </c>
      <c r="I93" s="6" cm="1">
        <f t="array" ref="I93">_xlfn.XLOOKUP($B93,CodeMinutesTable[[Code]:[Code]],CodeMinutesTable[[Minutes]:[Minutes]]) *_xlfn.XLOOKUP(I$1,'Provider Rates'!$A$2:$A$15,'Provider Rates'!$C$2:$C$15)</f>
        <v>130</v>
      </c>
      <c r="J93" s="6" cm="1">
        <f t="array" ref="J93">_xlfn.XLOOKUP($B93,CodeMinutesTable[[Code]:[Code]],CodeMinutesTable[[Minutes]:[Minutes]]) *_xlfn.XLOOKUP(J$1,'Provider Rates'!$A$2:$A$15,'Provider Rates'!$C$2:$C$15)</f>
        <v>119.16666666666666</v>
      </c>
      <c r="K93" s="6" cm="1">
        <f t="array" ref="K93">_xlfn.XLOOKUP($B93,CodeMinutesTable[[Code]:[Code]],CodeMinutesTable[[Minutes]:[Minutes]]) *_xlfn.XLOOKUP(K$1,'Provider Rates'!$A$2:$A$15,'Provider Rates'!$C$2:$C$15)</f>
        <v>108.33333333333334</v>
      </c>
      <c r="L93" s="6" cm="1">
        <f t="array" ref="L93">_xlfn.XLOOKUP($B93,CodeMinutesTable[[Code]:[Code]],CodeMinutesTable[[Minutes]:[Minutes]]) *_xlfn.XLOOKUP(L$1,'Provider Rates'!$A$2:$A$15,'Provider Rates'!$C$2:$C$15)</f>
        <v>97.5</v>
      </c>
      <c r="M93" s="6" cm="1">
        <f t="array" ref="M93">_xlfn.XLOOKUP($B93,CodeMinutesTable[[Code]:[Code]],CodeMinutesTable[[Minutes]:[Minutes]]) *_xlfn.XLOOKUP(M$1,'Provider Rates'!$A$2:$A$15,'Provider Rates'!$C$2:$C$15)</f>
        <v>86.666666666666671</v>
      </c>
      <c r="N93" s="6" cm="1">
        <f t="array" ref="N93">_xlfn.XLOOKUP($B93,CodeMinutesTable[[Code]:[Code]],CodeMinutesTable[[Minutes]:[Minutes]]) *_xlfn.XLOOKUP(N$1,'Provider Rates'!$A$2:$A$15,'Provider Rates'!$C$2:$C$15)</f>
        <v>75.833333333333329</v>
      </c>
      <c r="O93" s="6" cm="1">
        <f t="array" ref="O93">_xlfn.XLOOKUP($B93,CodeMinutesTable[[Code]:[Code]],CodeMinutesTable[[Minutes]:[Minutes]]) *_xlfn.XLOOKUP(O$1,'Provider Rates'!$A$2:$A$15,'Provider Rates'!$C$2:$C$15)</f>
        <v>65</v>
      </c>
      <c r="P93" s="6" cm="1">
        <f t="array" ref="P93">_xlfn.XLOOKUP($B93,CodeMinutesTable[[Code]:[Code]],CodeMinutesTable[[Minutes]:[Minutes]]) *_xlfn.XLOOKUP(P$1,'Provider Rates'!$A$2:$A$15,'Provider Rates'!$C$2:$C$15)</f>
        <v>43.333333333333336</v>
      </c>
      <c r="Q93" s="6">
        <f>VLOOKUP($B93, CodeMinutesTable[[Code]:[Minutes]], 3, FALSE) * VLOOKUP(Q$1, ProviderRatesTable[], 3, FALSE)</f>
        <v>32.5</v>
      </c>
    </row>
    <row r="94" spans="1:17" hidden="1" x14ac:dyDescent="0.25">
      <c r="A94" s="3" t="str">
        <f>INDEX(CodeMinutesTable[Frequently Used],MATCH(CodeRatesTable[[#This Row],[Billing Code]],CodeMinutesTable[Code],0))</f>
        <v>No</v>
      </c>
      <c r="B94" s="3" t="s">
        <v>222</v>
      </c>
      <c r="C94" t="s">
        <v>223</v>
      </c>
      <c r="D94" s="6">
        <f>VLOOKUP($B94, CodeMinutesTable[[Code]:[Minutes]], 3, FALSE) * VLOOKUP(D$1, ProviderRatesTable[], 3, FALSE)</f>
        <v>453.33333333333331</v>
      </c>
      <c r="E94" s="6" cm="1">
        <f t="array" ref="E94">_xlfn.XLOOKUP($B94,CodeMinutesTable[[Code]:[Code]],CodeMinutesTable[[Minutes]:[Minutes]]) *_xlfn.XLOOKUP(E$1,'Provider Rates'!$A$2:$A$15,'Provider Rates'!$C$2:$C$15)</f>
        <v>426.66666666666669</v>
      </c>
      <c r="F94" s="6" cm="1">
        <f t="array" ref="F94">_xlfn.XLOOKUP($B94,CodeMinutesTable[[Code]:[Code]],CodeMinutesTable[[Minutes]:[Minutes]]) *_xlfn.XLOOKUP(F$1,'Provider Rates'!$A$2:$A$15,'Provider Rates'!$C$2:$C$15)</f>
        <v>400</v>
      </c>
      <c r="G94" s="6" cm="1">
        <f t="array" ref="G94">_xlfn.XLOOKUP($B94,CodeMinutesTable[[Code]:[Code]],CodeMinutesTable[[Minutes]:[Minutes]]) *_xlfn.XLOOKUP(G$1,'Provider Rates'!$A$2:$A$15,'Provider Rates'!$C$2:$C$15)</f>
        <v>373.33333333333331</v>
      </c>
      <c r="H94" s="6" cm="1">
        <f t="array" ref="H94">_xlfn.XLOOKUP($B94,CodeMinutesTable[[Code]:[Code]],CodeMinutesTable[[Minutes]:[Minutes]]) *_xlfn.XLOOKUP(H$1,'Provider Rates'!$A$2:$A$15,'Provider Rates'!$C$2:$C$15)</f>
        <v>346.66666666666669</v>
      </c>
      <c r="I94" s="6" cm="1">
        <f t="array" ref="I94">_xlfn.XLOOKUP($B94,CodeMinutesTable[[Code]:[Code]],CodeMinutesTable[[Minutes]:[Minutes]]) *_xlfn.XLOOKUP(I$1,'Provider Rates'!$A$2:$A$15,'Provider Rates'!$C$2:$C$15)</f>
        <v>320</v>
      </c>
      <c r="J94" s="6" cm="1">
        <f t="array" ref="J94">_xlfn.XLOOKUP($B94,CodeMinutesTable[[Code]:[Code]],CodeMinutesTable[[Minutes]:[Minutes]]) *_xlfn.XLOOKUP(J$1,'Provider Rates'!$A$2:$A$15,'Provider Rates'!$C$2:$C$15)</f>
        <v>293.33333333333331</v>
      </c>
      <c r="K94" s="6" cm="1">
        <f t="array" ref="K94">_xlfn.XLOOKUP($B94,CodeMinutesTable[[Code]:[Code]],CodeMinutesTable[[Minutes]:[Minutes]]) *_xlfn.XLOOKUP(K$1,'Provider Rates'!$A$2:$A$15,'Provider Rates'!$C$2:$C$15)</f>
        <v>266.66666666666669</v>
      </c>
      <c r="L94" s="6" cm="1">
        <f t="array" ref="L94">_xlfn.XLOOKUP($B94,CodeMinutesTable[[Code]:[Code]],CodeMinutesTable[[Minutes]:[Minutes]]) *_xlfn.XLOOKUP(L$1,'Provider Rates'!$A$2:$A$15,'Provider Rates'!$C$2:$C$15)</f>
        <v>240</v>
      </c>
      <c r="M94" s="6" cm="1">
        <f t="array" ref="M94">_xlfn.XLOOKUP($B94,CodeMinutesTable[[Code]:[Code]],CodeMinutesTable[[Minutes]:[Minutes]]) *_xlfn.XLOOKUP(M$1,'Provider Rates'!$A$2:$A$15,'Provider Rates'!$C$2:$C$15)</f>
        <v>213.33333333333334</v>
      </c>
      <c r="N94" s="6" cm="1">
        <f t="array" ref="N94">_xlfn.XLOOKUP($B94,CodeMinutesTable[[Code]:[Code]],CodeMinutesTable[[Minutes]:[Minutes]]) *_xlfn.XLOOKUP(N$1,'Provider Rates'!$A$2:$A$15,'Provider Rates'!$C$2:$C$15)</f>
        <v>186.66666666666666</v>
      </c>
      <c r="O94" s="6" cm="1">
        <f t="array" ref="O94">_xlfn.XLOOKUP($B94,CodeMinutesTable[[Code]:[Code]],CodeMinutesTable[[Minutes]:[Minutes]]) *_xlfn.XLOOKUP(O$1,'Provider Rates'!$A$2:$A$15,'Provider Rates'!$C$2:$C$15)</f>
        <v>160</v>
      </c>
      <c r="P94" s="6" cm="1">
        <f t="array" ref="P94">_xlfn.XLOOKUP($B94,CodeMinutesTable[[Code]:[Code]],CodeMinutesTable[[Minutes]:[Minutes]]) *_xlfn.XLOOKUP(P$1,'Provider Rates'!$A$2:$A$15,'Provider Rates'!$C$2:$C$15)</f>
        <v>106.66666666666667</v>
      </c>
      <c r="Q94" s="6">
        <f>VLOOKUP($B94, CodeMinutesTable[[Code]:[Minutes]], 3, FALSE) * VLOOKUP(Q$1, ProviderRatesTable[], 3, FALSE)</f>
        <v>80</v>
      </c>
    </row>
    <row r="95" spans="1:17" hidden="1" x14ac:dyDescent="0.25">
      <c r="A95" s="3" t="str">
        <f>INDEX(CodeMinutesTable[Frequently Used],MATCH(CodeRatesTable[[#This Row],[Billing Code]],CodeMinutesTable[Code],0))</f>
        <v>No</v>
      </c>
      <c r="B95" s="3" t="s">
        <v>224</v>
      </c>
      <c r="C95" t="s">
        <v>225</v>
      </c>
      <c r="D95" s="6">
        <f>VLOOKUP($B95, CodeMinutesTable[[Code]:[Minutes]], 3, FALSE) * VLOOKUP(D$1, ProviderRatesTable[], 3, FALSE)</f>
        <v>708.33333333333326</v>
      </c>
      <c r="E95" s="6" cm="1">
        <f t="array" ref="E95">_xlfn.XLOOKUP($B95,CodeMinutesTable[[Code]:[Code]],CodeMinutesTable[[Minutes]:[Minutes]]) *_xlfn.XLOOKUP(E$1,'Provider Rates'!$A$2:$A$15,'Provider Rates'!$C$2:$C$15)</f>
        <v>666.66666666666674</v>
      </c>
      <c r="F95" s="6" cm="1">
        <f t="array" ref="F95">_xlfn.XLOOKUP($B95,CodeMinutesTable[[Code]:[Code]],CodeMinutesTable[[Minutes]:[Minutes]]) *_xlfn.XLOOKUP(F$1,'Provider Rates'!$A$2:$A$15,'Provider Rates'!$C$2:$C$15)</f>
        <v>625</v>
      </c>
      <c r="G95" s="6" cm="1">
        <f t="array" ref="G95">_xlfn.XLOOKUP($B95,CodeMinutesTable[[Code]:[Code]],CodeMinutesTable[[Minutes]:[Minutes]]) *_xlfn.XLOOKUP(G$1,'Provider Rates'!$A$2:$A$15,'Provider Rates'!$C$2:$C$15)</f>
        <v>583.33333333333326</v>
      </c>
      <c r="H95" s="6" cm="1">
        <f t="array" ref="H95">_xlfn.XLOOKUP($B95,CodeMinutesTable[[Code]:[Code]],CodeMinutesTable[[Minutes]:[Minutes]]) *_xlfn.XLOOKUP(H$1,'Provider Rates'!$A$2:$A$15,'Provider Rates'!$C$2:$C$15)</f>
        <v>541.66666666666674</v>
      </c>
      <c r="I95" s="6" cm="1">
        <f t="array" ref="I95">_xlfn.XLOOKUP($B95,CodeMinutesTable[[Code]:[Code]],CodeMinutesTable[[Minutes]:[Minutes]]) *_xlfn.XLOOKUP(I$1,'Provider Rates'!$A$2:$A$15,'Provider Rates'!$C$2:$C$15)</f>
        <v>500</v>
      </c>
      <c r="J95" s="6" cm="1">
        <f t="array" ref="J95">_xlfn.XLOOKUP($B95,CodeMinutesTable[[Code]:[Code]],CodeMinutesTable[[Minutes]:[Minutes]]) *_xlfn.XLOOKUP(J$1,'Provider Rates'!$A$2:$A$15,'Provider Rates'!$C$2:$C$15)</f>
        <v>458.33333333333331</v>
      </c>
      <c r="K95" s="6" cm="1">
        <f t="array" ref="K95">_xlfn.XLOOKUP($B95,CodeMinutesTable[[Code]:[Code]],CodeMinutesTable[[Minutes]:[Minutes]]) *_xlfn.XLOOKUP(K$1,'Provider Rates'!$A$2:$A$15,'Provider Rates'!$C$2:$C$15)</f>
        <v>416.66666666666669</v>
      </c>
      <c r="L95" s="6" cm="1">
        <f t="array" ref="L95">_xlfn.XLOOKUP($B95,CodeMinutesTable[[Code]:[Code]],CodeMinutesTable[[Minutes]:[Minutes]]) *_xlfn.XLOOKUP(L$1,'Provider Rates'!$A$2:$A$15,'Provider Rates'!$C$2:$C$15)</f>
        <v>375</v>
      </c>
      <c r="M95" s="6" cm="1">
        <f t="array" ref="M95">_xlfn.XLOOKUP($B95,CodeMinutesTable[[Code]:[Code]],CodeMinutesTable[[Minutes]:[Minutes]]) *_xlfn.XLOOKUP(M$1,'Provider Rates'!$A$2:$A$15,'Provider Rates'!$C$2:$C$15)</f>
        <v>333.33333333333337</v>
      </c>
      <c r="N95" s="6" cm="1">
        <f t="array" ref="N95">_xlfn.XLOOKUP($B95,CodeMinutesTable[[Code]:[Code]],CodeMinutesTable[[Minutes]:[Minutes]]) *_xlfn.XLOOKUP(N$1,'Provider Rates'!$A$2:$A$15,'Provider Rates'!$C$2:$C$15)</f>
        <v>291.66666666666663</v>
      </c>
      <c r="O95" s="6" cm="1">
        <f t="array" ref="O95">_xlfn.XLOOKUP($B95,CodeMinutesTable[[Code]:[Code]],CodeMinutesTable[[Minutes]:[Minutes]]) *_xlfn.XLOOKUP(O$1,'Provider Rates'!$A$2:$A$15,'Provider Rates'!$C$2:$C$15)</f>
        <v>250</v>
      </c>
      <c r="P95" s="6" cm="1">
        <f t="array" ref="P95">_xlfn.XLOOKUP($B95,CodeMinutesTable[[Code]:[Code]],CodeMinutesTable[[Minutes]:[Minutes]]) *_xlfn.XLOOKUP(P$1,'Provider Rates'!$A$2:$A$15,'Provider Rates'!$C$2:$C$15)</f>
        <v>166.66666666666669</v>
      </c>
      <c r="Q95" s="6">
        <f>VLOOKUP($B95, CodeMinutesTable[[Code]:[Minutes]], 3, FALSE) * VLOOKUP(Q$1, ProviderRatesTable[], 3, FALSE)</f>
        <v>125</v>
      </c>
    </row>
    <row r="96" spans="1:17" hidden="1" x14ac:dyDescent="0.25">
      <c r="A96" s="3" t="str">
        <f>INDEX(CodeMinutesTable[Frequently Used],MATCH(CodeRatesTable[[#This Row],[Billing Code]],CodeMinutesTable[Code],0))</f>
        <v>No</v>
      </c>
      <c r="B96" s="3" t="s">
        <v>226</v>
      </c>
      <c r="C96" t="s">
        <v>227</v>
      </c>
      <c r="D96" s="6">
        <f>VLOOKUP($B96, CodeMinutesTable[[Code]:[Minutes]], 3, FALSE) * VLOOKUP(D$1, ProviderRatesTable[], 3, FALSE)</f>
        <v>991.66666666666663</v>
      </c>
      <c r="E96" s="6" cm="1">
        <f t="array" ref="E96">_xlfn.XLOOKUP($B96,CodeMinutesTable[[Code]:[Code]],CodeMinutesTable[[Minutes]:[Minutes]]) *_xlfn.XLOOKUP(E$1,'Provider Rates'!$A$2:$A$15,'Provider Rates'!$C$2:$C$15)</f>
        <v>933.33333333333337</v>
      </c>
      <c r="F96" s="6" cm="1">
        <f t="array" ref="F96">_xlfn.XLOOKUP($B96,CodeMinutesTable[[Code]:[Code]],CodeMinutesTable[[Minutes]:[Minutes]]) *_xlfn.XLOOKUP(F$1,'Provider Rates'!$A$2:$A$15,'Provider Rates'!$C$2:$C$15)</f>
        <v>875</v>
      </c>
      <c r="G96" s="6" cm="1">
        <f t="array" ref="G96">_xlfn.XLOOKUP($B96,CodeMinutesTable[[Code]:[Code]],CodeMinutesTable[[Minutes]:[Minutes]]) *_xlfn.XLOOKUP(G$1,'Provider Rates'!$A$2:$A$15,'Provider Rates'!$C$2:$C$15)</f>
        <v>816.66666666666663</v>
      </c>
      <c r="H96" s="6" cm="1">
        <f t="array" ref="H96">_xlfn.XLOOKUP($B96,CodeMinutesTable[[Code]:[Code]],CodeMinutesTable[[Minutes]:[Minutes]]) *_xlfn.XLOOKUP(H$1,'Provider Rates'!$A$2:$A$15,'Provider Rates'!$C$2:$C$15)</f>
        <v>758.33333333333337</v>
      </c>
      <c r="I96" s="6" cm="1">
        <f t="array" ref="I96">_xlfn.XLOOKUP($B96,CodeMinutesTable[[Code]:[Code]],CodeMinutesTable[[Minutes]:[Minutes]]) *_xlfn.XLOOKUP(I$1,'Provider Rates'!$A$2:$A$15,'Provider Rates'!$C$2:$C$15)</f>
        <v>700</v>
      </c>
      <c r="J96" s="6" cm="1">
        <f t="array" ref="J96">_xlfn.XLOOKUP($B96,CodeMinutesTable[[Code]:[Code]],CodeMinutesTable[[Minutes]:[Minutes]]) *_xlfn.XLOOKUP(J$1,'Provider Rates'!$A$2:$A$15,'Provider Rates'!$C$2:$C$15)</f>
        <v>641.66666666666663</v>
      </c>
      <c r="K96" s="6" cm="1">
        <f t="array" ref="K96">_xlfn.XLOOKUP($B96,CodeMinutesTable[[Code]:[Code]],CodeMinutesTable[[Minutes]:[Minutes]]) *_xlfn.XLOOKUP(K$1,'Provider Rates'!$A$2:$A$15,'Provider Rates'!$C$2:$C$15)</f>
        <v>583.33333333333337</v>
      </c>
      <c r="L96" s="6" cm="1">
        <f t="array" ref="L96">_xlfn.XLOOKUP($B96,CodeMinutesTable[[Code]:[Code]],CodeMinutesTable[[Minutes]:[Minutes]]) *_xlfn.XLOOKUP(L$1,'Provider Rates'!$A$2:$A$15,'Provider Rates'!$C$2:$C$15)</f>
        <v>525</v>
      </c>
      <c r="M96" s="6" cm="1">
        <f t="array" ref="M96">_xlfn.XLOOKUP($B96,CodeMinutesTable[[Code]:[Code]],CodeMinutesTable[[Minutes]:[Minutes]]) *_xlfn.XLOOKUP(M$1,'Provider Rates'!$A$2:$A$15,'Provider Rates'!$C$2:$C$15)</f>
        <v>466.66666666666669</v>
      </c>
      <c r="N96" s="6" cm="1">
        <f t="array" ref="N96">_xlfn.XLOOKUP($B96,CodeMinutesTable[[Code]:[Code]],CodeMinutesTable[[Minutes]:[Minutes]]) *_xlfn.XLOOKUP(N$1,'Provider Rates'!$A$2:$A$15,'Provider Rates'!$C$2:$C$15)</f>
        <v>408.33333333333331</v>
      </c>
      <c r="O96" s="6" cm="1">
        <f t="array" ref="O96">_xlfn.XLOOKUP($B96,CodeMinutesTable[[Code]:[Code]],CodeMinutesTable[[Minutes]:[Minutes]]) *_xlfn.XLOOKUP(O$1,'Provider Rates'!$A$2:$A$15,'Provider Rates'!$C$2:$C$15)</f>
        <v>350</v>
      </c>
      <c r="P96" s="6" cm="1">
        <f t="array" ref="P96">_xlfn.XLOOKUP($B96,CodeMinutesTable[[Code]:[Code]],CodeMinutesTable[[Minutes]:[Minutes]]) *_xlfn.XLOOKUP(P$1,'Provider Rates'!$A$2:$A$15,'Provider Rates'!$C$2:$C$15)</f>
        <v>233.33333333333334</v>
      </c>
      <c r="Q96" s="6">
        <f>VLOOKUP($B96, CodeMinutesTable[[Code]:[Minutes]], 3, FALSE) * VLOOKUP(Q$1, ProviderRatesTable[], 3, FALSE)</f>
        <v>175</v>
      </c>
    </row>
    <row r="97" spans="1:17" hidden="1" x14ac:dyDescent="0.25">
      <c r="A97" s="3" t="str">
        <f>INDEX(CodeMinutesTable[Frequently Used],MATCH(CodeRatesTable[[#This Row],[Billing Code]],CodeMinutesTable[Code],0))</f>
        <v>No</v>
      </c>
      <c r="B97" s="3" t="s">
        <v>228</v>
      </c>
      <c r="C97" t="s">
        <v>229</v>
      </c>
      <c r="D97" s="6">
        <f>VLOOKUP($B97, CodeMinutesTable[[Code]:[Minutes]], 3, FALSE) * VLOOKUP(D$1, ProviderRatesTable[], 3, FALSE)</f>
        <v>566.66666666666663</v>
      </c>
      <c r="E97" s="6" cm="1">
        <f t="array" ref="E97">_xlfn.XLOOKUP($B97,CodeMinutesTable[[Code]:[Code]],CodeMinutesTable[[Minutes]:[Minutes]]) *_xlfn.XLOOKUP(E$1,'Provider Rates'!$A$2:$A$15,'Provider Rates'!$C$2:$C$15)</f>
        <v>533.33333333333337</v>
      </c>
      <c r="F97" s="6" cm="1">
        <f t="array" ref="F97">_xlfn.XLOOKUP($B97,CodeMinutesTable[[Code]:[Code]],CodeMinutesTable[[Minutes]:[Minutes]]) *_xlfn.XLOOKUP(F$1,'Provider Rates'!$A$2:$A$15,'Provider Rates'!$C$2:$C$15)</f>
        <v>500</v>
      </c>
      <c r="G97" s="6" cm="1">
        <f t="array" ref="G97">_xlfn.XLOOKUP($B97,CodeMinutesTable[[Code]:[Code]],CodeMinutesTable[[Minutes]:[Minutes]]) *_xlfn.XLOOKUP(G$1,'Provider Rates'!$A$2:$A$15,'Provider Rates'!$C$2:$C$15)</f>
        <v>466.66666666666663</v>
      </c>
      <c r="H97" s="6" cm="1">
        <f t="array" ref="H97">_xlfn.XLOOKUP($B97,CodeMinutesTable[[Code]:[Code]],CodeMinutesTable[[Minutes]:[Minutes]]) *_xlfn.XLOOKUP(H$1,'Provider Rates'!$A$2:$A$15,'Provider Rates'!$C$2:$C$15)</f>
        <v>433.33333333333337</v>
      </c>
      <c r="I97" s="6" cm="1">
        <f t="array" ref="I97">_xlfn.XLOOKUP($B97,CodeMinutesTable[[Code]:[Code]],CodeMinutesTable[[Minutes]:[Minutes]]) *_xlfn.XLOOKUP(I$1,'Provider Rates'!$A$2:$A$15,'Provider Rates'!$C$2:$C$15)</f>
        <v>400</v>
      </c>
      <c r="J97" s="6" cm="1">
        <f t="array" ref="J97">_xlfn.XLOOKUP($B97,CodeMinutesTable[[Code]:[Code]],CodeMinutesTable[[Minutes]:[Minutes]]) *_xlfn.XLOOKUP(J$1,'Provider Rates'!$A$2:$A$15,'Provider Rates'!$C$2:$C$15)</f>
        <v>366.66666666666663</v>
      </c>
      <c r="K97" s="6" cm="1">
        <f t="array" ref="K97">_xlfn.XLOOKUP($B97,CodeMinutesTable[[Code]:[Code]],CodeMinutesTable[[Minutes]:[Minutes]]) *_xlfn.XLOOKUP(K$1,'Provider Rates'!$A$2:$A$15,'Provider Rates'!$C$2:$C$15)</f>
        <v>333.33333333333337</v>
      </c>
      <c r="L97" s="6" cm="1">
        <f t="array" ref="L97">_xlfn.XLOOKUP($B97,CodeMinutesTable[[Code]:[Code]],CodeMinutesTable[[Minutes]:[Minutes]]) *_xlfn.XLOOKUP(L$1,'Provider Rates'!$A$2:$A$15,'Provider Rates'!$C$2:$C$15)</f>
        <v>300</v>
      </c>
      <c r="M97" s="6" cm="1">
        <f t="array" ref="M97">_xlfn.XLOOKUP($B97,CodeMinutesTable[[Code]:[Code]],CodeMinutesTable[[Minutes]:[Minutes]]) *_xlfn.XLOOKUP(M$1,'Provider Rates'!$A$2:$A$15,'Provider Rates'!$C$2:$C$15)</f>
        <v>266.66666666666669</v>
      </c>
      <c r="N97" s="6" cm="1">
        <f t="array" ref="N97">_xlfn.XLOOKUP($B97,CodeMinutesTable[[Code]:[Code]],CodeMinutesTable[[Minutes]:[Minutes]]) *_xlfn.XLOOKUP(N$1,'Provider Rates'!$A$2:$A$15,'Provider Rates'!$C$2:$C$15)</f>
        <v>233.33333333333331</v>
      </c>
      <c r="O97" s="6" cm="1">
        <f t="array" ref="O97">_xlfn.XLOOKUP($B97,CodeMinutesTable[[Code]:[Code]],CodeMinutesTable[[Minutes]:[Minutes]]) *_xlfn.XLOOKUP(O$1,'Provider Rates'!$A$2:$A$15,'Provider Rates'!$C$2:$C$15)</f>
        <v>200</v>
      </c>
      <c r="P97" s="6" cm="1">
        <f t="array" ref="P97">_xlfn.XLOOKUP($B97,CodeMinutesTable[[Code]:[Code]],CodeMinutesTable[[Minutes]:[Minutes]]) *_xlfn.XLOOKUP(P$1,'Provider Rates'!$A$2:$A$15,'Provider Rates'!$C$2:$C$15)</f>
        <v>133.33333333333334</v>
      </c>
      <c r="Q97" s="6">
        <f>VLOOKUP($B97, CodeMinutesTable[[Code]:[Minutes]], 3, FALSE) * VLOOKUP(Q$1, ProviderRatesTable[], 3, FALSE)</f>
        <v>100</v>
      </c>
    </row>
    <row r="98" spans="1:17" hidden="1" x14ac:dyDescent="0.25">
      <c r="A98" s="3" t="str">
        <f>INDEX(CodeMinutesTable[Frequently Used],MATCH(CodeRatesTable[[#This Row],[Billing Code]],CodeMinutesTable[Code],0))</f>
        <v>No</v>
      </c>
      <c r="B98" s="3" t="s">
        <v>230</v>
      </c>
      <c r="C98" t="s">
        <v>231</v>
      </c>
      <c r="D98" s="6">
        <f>VLOOKUP($B98, CodeMinutesTable[[Code]:[Minutes]], 3, FALSE) * VLOOKUP(D$1, ProviderRatesTable[], 3, FALSE)</f>
        <v>878.33333333333326</v>
      </c>
      <c r="E98" s="6" cm="1">
        <f t="array" ref="E98">_xlfn.XLOOKUP($B98,CodeMinutesTable[[Code]:[Code]],CodeMinutesTable[[Minutes]:[Minutes]]) *_xlfn.XLOOKUP(E$1,'Provider Rates'!$A$2:$A$15,'Provider Rates'!$C$2:$C$15)</f>
        <v>826.66666666666674</v>
      </c>
      <c r="F98" s="6" cm="1">
        <f t="array" ref="F98">_xlfn.XLOOKUP($B98,CodeMinutesTable[[Code]:[Code]],CodeMinutesTable[[Minutes]:[Minutes]]) *_xlfn.XLOOKUP(F$1,'Provider Rates'!$A$2:$A$15,'Provider Rates'!$C$2:$C$15)</f>
        <v>775</v>
      </c>
      <c r="G98" s="6" cm="1">
        <f t="array" ref="G98">_xlfn.XLOOKUP($B98,CodeMinutesTable[[Code]:[Code]],CodeMinutesTable[[Minutes]:[Minutes]]) *_xlfn.XLOOKUP(G$1,'Provider Rates'!$A$2:$A$15,'Provider Rates'!$C$2:$C$15)</f>
        <v>723.33333333333326</v>
      </c>
      <c r="H98" s="6" cm="1">
        <f t="array" ref="H98">_xlfn.XLOOKUP($B98,CodeMinutesTable[[Code]:[Code]],CodeMinutesTable[[Minutes]:[Minutes]]) *_xlfn.XLOOKUP(H$1,'Provider Rates'!$A$2:$A$15,'Provider Rates'!$C$2:$C$15)</f>
        <v>671.66666666666674</v>
      </c>
      <c r="I98" s="6" cm="1">
        <f t="array" ref="I98">_xlfn.XLOOKUP($B98,CodeMinutesTable[[Code]:[Code]],CodeMinutesTable[[Minutes]:[Minutes]]) *_xlfn.XLOOKUP(I$1,'Provider Rates'!$A$2:$A$15,'Provider Rates'!$C$2:$C$15)</f>
        <v>620</v>
      </c>
      <c r="J98" s="6" cm="1">
        <f t="array" ref="J98">_xlfn.XLOOKUP($B98,CodeMinutesTable[[Code]:[Code]],CodeMinutesTable[[Minutes]:[Minutes]]) *_xlfn.XLOOKUP(J$1,'Provider Rates'!$A$2:$A$15,'Provider Rates'!$C$2:$C$15)</f>
        <v>568.33333333333326</v>
      </c>
      <c r="K98" s="6" cm="1">
        <f t="array" ref="K98">_xlfn.XLOOKUP($B98,CodeMinutesTable[[Code]:[Code]],CodeMinutesTable[[Minutes]:[Minutes]]) *_xlfn.XLOOKUP(K$1,'Provider Rates'!$A$2:$A$15,'Provider Rates'!$C$2:$C$15)</f>
        <v>516.66666666666674</v>
      </c>
      <c r="L98" s="6" cm="1">
        <f t="array" ref="L98">_xlfn.XLOOKUP($B98,CodeMinutesTable[[Code]:[Code]],CodeMinutesTable[[Minutes]:[Minutes]]) *_xlfn.XLOOKUP(L$1,'Provider Rates'!$A$2:$A$15,'Provider Rates'!$C$2:$C$15)</f>
        <v>465</v>
      </c>
      <c r="M98" s="6" cm="1">
        <f t="array" ref="M98">_xlfn.XLOOKUP($B98,CodeMinutesTable[[Code]:[Code]],CodeMinutesTable[[Minutes]:[Minutes]]) *_xlfn.XLOOKUP(M$1,'Provider Rates'!$A$2:$A$15,'Provider Rates'!$C$2:$C$15)</f>
        <v>413.33333333333337</v>
      </c>
      <c r="N98" s="6" cm="1">
        <f t="array" ref="N98">_xlfn.XLOOKUP($B98,CodeMinutesTable[[Code]:[Code]],CodeMinutesTable[[Minutes]:[Minutes]]) *_xlfn.XLOOKUP(N$1,'Provider Rates'!$A$2:$A$15,'Provider Rates'!$C$2:$C$15)</f>
        <v>361.66666666666663</v>
      </c>
      <c r="O98" s="6" cm="1">
        <f t="array" ref="O98">_xlfn.XLOOKUP($B98,CodeMinutesTable[[Code]:[Code]],CodeMinutesTable[[Minutes]:[Minutes]]) *_xlfn.XLOOKUP(O$1,'Provider Rates'!$A$2:$A$15,'Provider Rates'!$C$2:$C$15)</f>
        <v>310</v>
      </c>
      <c r="P98" s="6" cm="1">
        <f t="array" ref="P98">_xlfn.XLOOKUP($B98,CodeMinutesTable[[Code]:[Code]],CodeMinutesTable[[Minutes]:[Minutes]]) *_xlfn.XLOOKUP(P$1,'Provider Rates'!$A$2:$A$15,'Provider Rates'!$C$2:$C$15)</f>
        <v>206.66666666666669</v>
      </c>
      <c r="Q98" s="6">
        <f>VLOOKUP($B98, CodeMinutesTable[[Code]:[Minutes]], 3, FALSE) * VLOOKUP(Q$1, ProviderRatesTable[], 3, FALSE)</f>
        <v>155</v>
      </c>
    </row>
    <row r="99" spans="1:17" hidden="1" x14ac:dyDescent="0.25">
      <c r="A99" s="3" t="str">
        <f>INDEX(CodeMinutesTable[Frequently Used],MATCH(CodeRatesTable[[#This Row],[Billing Code]],CodeMinutesTable[Code],0))</f>
        <v>No</v>
      </c>
      <c r="B99" s="3" t="s">
        <v>232</v>
      </c>
      <c r="C99" t="s">
        <v>233</v>
      </c>
      <c r="D99" s="6">
        <f>VLOOKUP($B99, CodeMinutesTable[[Code]:[Minutes]], 3, FALSE) * VLOOKUP(D$1, ProviderRatesTable[], 3, FALSE)</f>
        <v>1218.3333333333333</v>
      </c>
      <c r="E99" s="6" cm="1">
        <f t="array" ref="E99">_xlfn.XLOOKUP($B99,CodeMinutesTable[[Code]:[Code]],CodeMinutesTable[[Minutes]:[Minutes]]) *_xlfn.XLOOKUP(E$1,'Provider Rates'!$A$2:$A$15,'Provider Rates'!$C$2:$C$15)</f>
        <v>1146.6666666666667</v>
      </c>
      <c r="F99" s="6" cm="1">
        <f t="array" ref="F99">_xlfn.XLOOKUP($B99,CodeMinutesTable[[Code]:[Code]],CodeMinutesTable[[Minutes]:[Minutes]]) *_xlfn.XLOOKUP(F$1,'Provider Rates'!$A$2:$A$15,'Provider Rates'!$C$2:$C$15)</f>
        <v>1075</v>
      </c>
      <c r="G99" s="6" cm="1">
        <f t="array" ref="G99">_xlfn.XLOOKUP($B99,CodeMinutesTable[[Code]:[Code]],CodeMinutesTable[[Minutes]:[Minutes]]) *_xlfn.XLOOKUP(G$1,'Provider Rates'!$A$2:$A$15,'Provider Rates'!$C$2:$C$15)</f>
        <v>1003.3333333333333</v>
      </c>
      <c r="H99" s="6" cm="1">
        <f t="array" ref="H99">_xlfn.XLOOKUP($B99,CodeMinutesTable[[Code]:[Code]],CodeMinutesTable[[Minutes]:[Minutes]]) *_xlfn.XLOOKUP(H$1,'Provider Rates'!$A$2:$A$15,'Provider Rates'!$C$2:$C$15)</f>
        <v>931.66666666666674</v>
      </c>
      <c r="I99" s="6" cm="1">
        <f t="array" ref="I99">_xlfn.XLOOKUP($B99,CodeMinutesTable[[Code]:[Code]],CodeMinutesTable[[Minutes]:[Minutes]]) *_xlfn.XLOOKUP(I$1,'Provider Rates'!$A$2:$A$15,'Provider Rates'!$C$2:$C$15)</f>
        <v>860</v>
      </c>
      <c r="J99" s="6" cm="1">
        <f t="array" ref="J99">_xlfn.XLOOKUP($B99,CodeMinutesTable[[Code]:[Code]],CodeMinutesTable[[Minutes]:[Minutes]]) *_xlfn.XLOOKUP(J$1,'Provider Rates'!$A$2:$A$15,'Provider Rates'!$C$2:$C$15)</f>
        <v>788.33333333333326</v>
      </c>
      <c r="K99" s="6" cm="1">
        <f t="array" ref="K99">_xlfn.XLOOKUP($B99,CodeMinutesTable[[Code]:[Code]],CodeMinutesTable[[Minutes]:[Minutes]]) *_xlfn.XLOOKUP(K$1,'Provider Rates'!$A$2:$A$15,'Provider Rates'!$C$2:$C$15)</f>
        <v>716.66666666666674</v>
      </c>
      <c r="L99" s="6" cm="1">
        <f t="array" ref="L99">_xlfn.XLOOKUP($B99,CodeMinutesTable[[Code]:[Code]],CodeMinutesTable[[Minutes]:[Minutes]]) *_xlfn.XLOOKUP(L$1,'Provider Rates'!$A$2:$A$15,'Provider Rates'!$C$2:$C$15)</f>
        <v>645</v>
      </c>
      <c r="M99" s="6" cm="1">
        <f t="array" ref="M99">_xlfn.XLOOKUP($B99,CodeMinutesTable[[Code]:[Code]],CodeMinutesTable[[Minutes]:[Minutes]]) *_xlfn.XLOOKUP(M$1,'Provider Rates'!$A$2:$A$15,'Provider Rates'!$C$2:$C$15)</f>
        <v>573.33333333333337</v>
      </c>
      <c r="N99" s="6" cm="1">
        <f t="array" ref="N99">_xlfn.XLOOKUP($B99,CodeMinutesTable[[Code]:[Code]],CodeMinutesTable[[Minutes]:[Minutes]]) *_xlfn.XLOOKUP(N$1,'Provider Rates'!$A$2:$A$15,'Provider Rates'!$C$2:$C$15)</f>
        <v>501.66666666666663</v>
      </c>
      <c r="O99" s="6" cm="1">
        <f t="array" ref="O99">_xlfn.XLOOKUP($B99,CodeMinutesTable[[Code]:[Code]],CodeMinutesTable[[Minutes]:[Minutes]]) *_xlfn.XLOOKUP(O$1,'Provider Rates'!$A$2:$A$15,'Provider Rates'!$C$2:$C$15)</f>
        <v>430</v>
      </c>
      <c r="P99" s="6" cm="1">
        <f t="array" ref="P99">_xlfn.XLOOKUP($B99,CodeMinutesTable[[Code]:[Code]],CodeMinutesTable[[Minutes]:[Minutes]]) *_xlfn.XLOOKUP(P$1,'Provider Rates'!$A$2:$A$15,'Provider Rates'!$C$2:$C$15)</f>
        <v>286.66666666666669</v>
      </c>
      <c r="Q99" s="6">
        <f>VLOOKUP($B99, CodeMinutesTable[[Code]:[Minutes]], 3, FALSE) * VLOOKUP(Q$1, ProviderRatesTable[], 3, FALSE)</f>
        <v>215</v>
      </c>
    </row>
    <row r="100" spans="1:17" hidden="1" x14ac:dyDescent="0.25">
      <c r="A100" s="3" t="str">
        <f>INDEX(CodeMinutesTable[Frequently Used],MATCH(CodeRatesTable[[#This Row],[Billing Code]],CodeMinutesTable[Code],0))</f>
        <v>No</v>
      </c>
      <c r="B100" s="3" t="s">
        <v>234</v>
      </c>
      <c r="C100" t="s">
        <v>235</v>
      </c>
      <c r="D100" s="6">
        <f>VLOOKUP($B100, CodeMinutesTable[[Code]:[Minutes]], 3, FALSE) * VLOOKUP(D$1, ProviderRatesTable[], 3, FALSE)</f>
        <v>1643.3333333333333</v>
      </c>
      <c r="E100" s="6" cm="1">
        <f t="array" ref="E100">_xlfn.XLOOKUP($B100,CodeMinutesTable[[Code]:[Code]],CodeMinutesTable[[Minutes]:[Minutes]]) *_xlfn.XLOOKUP(E$1,'Provider Rates'!$A$2:$A$15,'Provider Rates'!$C$2:$C$15)</f>
        <v>1546.6666666666667</v>
      </c>
      <c r="F100" s="6" cm="1">
        <f t="array" ref="F100">_xlfn.XLOOKUP($B100,CodeMinutesTable[[Code]:[Code]],CodeMinutesTable[[Minutes]:[Minutes]]) *_xlfn.XLOOKUP(F$1,'Provider Rates'!$A$2:$A$15,'Provider Rates'!$C$2:$C$15)</f>
        <v>1450</v>
      </c>
      <c r="G100" s="6" cm="1">
        <f t="array" ref="G100">_xlfn.XLOOKUP($B100,CodeMinutesTable[[Code]:[Code]],CodeMinutesTable[[Minutes]:[Minutes]]) *_xlfn.XLOOKUP(G$1,'Provider Rates'!$A$2:$A$15,'Provider Rates'!$C$2:$C$15)</f>
        <v>1353.3333333333333</v>
      </c>
      <c r="H100" s="6" cm="1">
        <f t="array" ref="H100">_xlfn.XLOOKUP($B100,CodeMinutesTable[[Code]:[Code]],CodeMinutesTable[[Minutes]:[Minutes]]) *_xlfn.XLOOKUP(H$1,'Provider Rates'!$A$2:$A$15,'Provider Rates'!$C$2:$C$15)</f>
        <v>1256.6666666666667</v>
      </c>
      <c r="I100" s="6" cm="1">
        <f t="array" ref="I100">_xlfn.XLOOKUP($B100,CodeMinutesTable[[Code]:[Code]],CodeMinutesTable[[Minutes]:[Minutes]]) *_xlfn.XLOOKUP(I$1,'Provider Rates'!$A$2:$A$15,'Provider Rates'!$C$2:$C$15)</f>
        <v>1160</v>
      </c>
      <c r="J100" s="6" cm="1">
        <f t="array" ref="J100">_xlfn.XLOOKUP($B100,CodeMinutesTable[[Code]:[Code]],CodeMinutesTable[[Minutes]:[Minutes]]) *_xlfn.XLOOKUP(J$1,'Provider Rates'!$A$2:$A$15,'Provider Rates'!$C$2:$C$15)</f>
        <v>1063.3333333333333</v>
      </c>
      <c r="K100" s="6" cm="1">
        <f t="array" ref="K100">_xlfn.XLOOKUP($B100,CodeMinutesTable[[Code]:[Code]],CodeMinutesTable[[Minutes]:[Minutes]]) *_xlfn.XLOOKUP(K$1,'Provider Rates'!$A$2:$A$15,'Provider Rates'!$C$2:$C$15)</f>
        <v>966.66666666666674</v>
      </c>
      <c r="L100" s="6" cm="1">
        <f t="array" ref="L100">_xlfn.XLOOKUP($B100,CodeMinutesTable[[Code]:[Code]],CodeMinutesTable[[Minutes]:[Minutes]]) *_xlfn.XLOOKUP(L$1,'Provider Rates'!$A$2:$A$15,'Provider Rates'!$C$2:$C$15)</f>
        <v>870</v>
      </c>
      <c r="M100" s="6" cm="1">
        <f t="array" ref="M100">_xlfn.XLOOKUP($B100,CodeMinutesTable[[Code]:[Code]],CodeMinutesTable[[Minutes]:[Minutes]]) *_xlfn.XLOOKUP(M$1,'Provider Rates'!$A$2:$A$15,'Provider Rates'!$C$2:$C$15)</f>
        <v>773.33333333333337</v>
      </c>
      <c r="N100" s="6" cm="1">
        <f t="array" ref="N100">_xlfn.XLOOKUP($B100,CodeMinutesTable[[Code]:[Code]],CodeMinutesTable[[Minutes]:[Minutes]]) *_xlfn.XLOOKUP(N$1,'Provider Rates'!$A$2:$A$15,'Provider Rates'!$C$2:$C$15)</f>
        <v>676.66666666666663</v>
      </c>
      <c r="O100" s="6" cm="1">
        <f t="array" ref="O100">_xlfn.XLOOKUP($B100,CodeMinutesTable[[Code]:[Code]],CodeMinutesTable[[Minutes]:[Minutes]]) *_xlfn.XLOOKUP(O$1,'Provider Rates'!$A$2:$A$15,'Provider Rates'!$C$2:$C$15)</f>
        <v>580</v>
      </c>
      <c r="P100" s="6" cm="1">
        <f t="array" ref="P100">_xlfn.XLOOKUP($B100,CodeMinutesTable[[Code]:[Code]],CodeMinutesTable[[Minutes]:[Minutes]]) *_xlfn.XLOOKUP(P$1,'Provider Rates'!$A$2:$A$15,'Provider Rates'!$C$2:$C$15)</f>
        <v>386.66666666666669</v>
      </c>
      <c r="Q100" s="6">
        <f>VLOOKUP($B100, CodeMinutesTable[[Code]:[Minutes]], 3, FALSE) * VLOOKUP(Q$1, ProviderRatesTable[], 3, FALSE)</f>
        <v>290</v>
      </c>
    </row>
    <row r="101" spans="1:17" hidden="1" x14ac:dyDescent="0.25">
      <c r="A101" s="3" t="str">
        <f>INDEX(CodeMinutesTable[Frequently Used],MATCH(CodeRatesTable[[#This Row],[Billing Code]],CodeMinutesTable[Code],0))</f>
        <v>No</v>
      </c>
      <c r="B101" s="3" t="s">
        <v>236</v>
      </c>
      <c r="C101" t="s">
        <v>237</v>
      </c>
      <c r="D101" s="6">
        <f>VLOOKUP($B101, CodeMinutesTable[[Code]:[Minutes]], 3, FALSE) * VLOOKUP(D$1, ProviderRatesTable[], 3, FALSE)</f>
        <v>2068.333333333333</v>
      </c>
      <c r="E101" s="6" cm="1">
        <f t="array" ref="E101">_xlfn.XLOOKUP($B101,CodeMinutesTable[[Code]:[Code]],CodeMinutesTable[[Minutes]:[Minutes]]) *_xlfn.XLOOKUP(E$1,'Provider Rates'!$A$2:$A$15,'Provider Rates'!$C$2:$C$15)</f>
        <v>1946.6666666666667</v>
      </c>
      <c r="F101" s="6" cm="1">
        <f t="array" ref="F101">_xlfn.XLOOKUP($B101,CodeMinutesTable[[Code]:[Code]],CodeMinutesTable[[Minutes]:[Minutes]]) *_xlfn.XLOOKUP(F$1,'Provider Rates'!$A$2:$A$15,'Provider Rates'!$C$2:$C$15)</f>
        <v>1825</v>
      </c>
      <c r="G101" s="6" cm="1">
        <f t="array" ref="G101">_xlfn.XLOOKUP($B101,CodeMinutesTable[[Code]:[Code]],CodeMinutesTable[[Minutes]:[Minutes]]) *_xlfn.XLOOKUP(G$1,'Provider Rates'!$A$2:$A$15,'Provider Rates'!$C$2:$C$15)</f>
        <v>1703.3333333333333</v>
      </c>
      <c r="H101" s="6" cm="1">
        <f t="array" ref="H101">_xlfn.XLOOKUP($B101,CodeMinutesTable[[Code]:[Code]],CodeMinutesTable[[Minutes]:[Minutes]]) *_xlfn.XLOOKUP(H$1,'Provider Rates'!$A$2:$A$15,'Provider Rates'!$C$2:$C$15)</f>
        <v>1581.6666666666667</v>
      </c>
      <c r="I101" s="6" cm="1">
        <f t="array" ref="I101">_xlfn.XLOOKUP($B101,CodeMinutesTable[[Code]:[Code]],CodeMinutesTable[[Minutes]:[Minutes]]) *_xlfn.XLOOKUP(I$1,'Provider Rates'!$A$2:$A$15,'Provider Rates'!$C$2:$C$15)</f>
        <v>1460</v>
      </c>
      <c r="J101" s="6" cm="1">
        <f t="array" ref="J101">_xlfn.XLOOKUP($B101,CodeMinutesTable[[Code]:[Code]],CodeMinutesTable[[Minutes]:[Minutes]]) *_xlfn.XLOOKUP(J$1,'Provider Rates'!$A$2:$A$15,'Provider Rates'!$C$2:$C$15)</f>
        <v>1338.3333333333333</v>
      </c>
      <c r="K101" s="6" cm="1">
        <f t="array" ref="K101">_xlfn.XLOOKUP($B101,CodeMinutesTable[[Code]:[Code]],CodeMinutesTable[[Minutes]:[Minutes]]) *_xlfn.XLOOKUP(K$1,'Provider Rates'!$A$2:$A$15,'Provider Rates'!$C$2:$C$15)</f>
        <v>1216.6666666666667</v>
      </c>
      <c r="L101" s="6" cm="1">
        <f t="array" ref="L101">_xlfn.XLOOKUP($B101,CodeMinutesTable[[Code]:[Code]],CodeMinutesTable[[Minutes]:[Minutes]]) *_xlfn.XLOOKUP(L$1,'Provider Rates'!$A$2:$A$15,'Provider Rates'!$C$2:$C$15)</f>
        <v>1095</v>
      </c>
      <c r="M101" s="6" cm="1">
        <f t="array" ref="M101">_xlfn.XLOOKUP($B101,CodeMinutesTable[[Code]:[Code]],CodeMinutesTable[[Minutes]:[Minutes]]) *_xlfn.XLOOKUP(M$1,'Provider Rates'!$A$2:$A$15,'Provider Rates'!$C$2:$C$15)</f>
        <v>973.33333333333337</v>
      </c>
      <c r="N101" s="6" cm="1">
        <f t="array" ref="N101">_xlfn.XLOOKUP($B101,CodeMinutesTable[[Code]:[Code]],CodeMinutesTable[[Minutes]:[Minutes]]) *_xlfn.XLOOKUP(N$1,'Provider Rates'!$A$2:$A$15,'Provider Rates'!$C$2:$C$15)</f>
        <v>851.66666666666663</v>
      </c>
      <c r="O101" s="6" cm="1">
        <f t="array" ref="O101">_xlfn.XLOOKUP($B101,CodeMinutesTable[[Code]:[Code]],CodeMinutesTable[[Minutes]:[Minutes]]) *_xlfn.XLOOKUP(O$1,'Provider Rates'!$A$2:$A$15,'Provider Rates'!$C$2:$C$15)</f>
        <v>730</v>
      </c>
      <c r="P101" s="6" cm="1">
        <f t="array" ref="P101">_xlfn.XLOOKUP($B101,CodeMinutesTable[[Code]:[Code]],CodeMinutesTable[[Minutes]:[Minutes]]) *_xlfn.XLOOKUP(P$1,'Provider Rates'!$A$2:$A$15,'Provider Rates'!$C$2:$C$15)</f>
        <v>486.66666666666669</v>
      </c>
      <c r="Q101" s="6">
        <f>VLOOKUP($B101, CodeMinutesTable[[Code]:[Minutes]], 3, FALSE) * VLOOKUP(Q$1, ProviderRatesTable[], 3, FALSE)</f>
        <v>365</v>
      </c>
    </row>
    <row r="102" spans="1:17" hidden="1" x14ac:dyDescent="0.25">
      <c r="A102" s="3" t="str">
        <f>INDEX(CodeMinutesTable[Frequently Used],MATCH(CodeRatesTable[[#This Row],[Billing Code]],CodeMinutesTable[Code],0))</f>
        <v>No</v>
      </c>
      <c r="B102" s="3" t="s">
        <v>238</v>
      </c>
      <c r="C102" t="s">
        <v>239</v>
      </c>
      <c r="D102" s="6">
        <f>VLOOKUP($B102, CodeMinutesTable[[Code]:[Minutes]], 3, FALSE) * VLOOKUP(D$1, ProviderRatesTable[], 3, FALSE)</f>
        <v>425</v>
      </c>
      <c r="E102" s="6" cm="1">
        <f t="array" ref="E102">_xlfn.XLOOKUP($B102,CodeMinutesTable[[Code]:[Code]],CodeMinutesTable[[Minutes]:[Minutes]]) *_xlfn.XLOOKUP(E$1,'Provider Rates'!$A$2:$A$15,'Provider Rates'!$C$2:$C$15)</f>
        <v>400</v>
      </c>
      <c r="F102" s="6" cm="1">
        <f t="array" ref="F102">_xlfn.XLOOKUP($B102,CodeMinutesTable[[Code]:[Code]],CodeMinutesTable[[Minutes]:[Minutes]]) *_xlfn.XLOOKUP(F$1,'Provider Rates'!$A$2:$A$15,'Provider Rates'!$C$2:$C$15)</f>
        <v>375</v>
      </c>
      <c r="G102" s="6" cm="1">
        <f t="array" ref="G102">_xlfn.XLOOKUP($B102,CodeMinutesTable[[Code]:[Code]],CodeMinutesTable[[Minutes]:[Minutes]]) *_xlfn.XLOOKUP(G$1,'Provider Rates'!$A$2:$A$15,'Provider Rates'!$C$2:$C$15)</f>
        <v>350</v>
      </c>
      <c r="H102" s="6" cm="1">
        <f t="array" ref="H102">_xlfn.XLOOKUP($B102,CodeMinutesTable[[Code]:[Code]],CodeMinutesTable[[Minutes]:[Minutes]]) *_xlfn.XLOOKUP(H$1,'Provider Rates'!$A$2:$A$15,'Provider Rates'!$C$2:$C$15)</f>
        <v>325</v>
      </c>
      <c r="I102" s="6" cm="1">
        <f t="array" ref="I102">_xlfn.XLOOKUP($B102,CodeMinutesTable[[Code]:[Code]],CodeMinutesTable[[Minutes]:[Minutes]]) *_xlfn.XLOOKUP(I$1,'Provider Rates'!$A$2:$A$15,'Provider Rates'!$C$2:$C$15)</f>
        <v>300</v>
      </c>
      <c r="J102" s="6" cm="1">
        <f t="array" ref="J102">_xlfn.XLOOKUP($B102,CodeMinutesTable[[Code]:[Code]],CodeMinutesTable[[Minutes]:[Minutes]]) *_xlfn.XLOOKUP(J$1,'Provider Rates'!$A$2:$A$15,'Provider Rates'!$C$2:$C$15)</f>
        <v>275</v>
      </c>
      <c r="K102" s="6" cm="1">
        <f t="array" ref="K102">_xlfn.XLOOKUP($B102,CodeMinutesTable[[Code]:[Code]],CodeMinutesTable[[Minutes]:[Minutes]]) *_xlfn.XLOOKUP(K$1,'Provider Rates'!$A$2:$A$15,'Provider Rates'!$C$2:$C$15)</f>
        <v>250.00000000000003</v>
      </c>
      <c r="L102" s="6" cm="1">
        <f t="array" ref="L102">_xlfn.XLOOKUP($B102,CodeMinutesTable[[Code]:[Code]],CodeMinutesTable[[Minutes]:[Minutes]]) *_xlfn.XLOOKUP(L$1,'Provider Rates'!$A$2:$A$15,'Provider Rates'!$C$2:$C$15)</f>
        <v>225</v>
      </c>
      <c r="M102" s="6" cm="1">
        <f t="array" ref="M102">_xlfn.XLOOKUP($B102,CodeMinutesTable[[Code]:[Code]],CodeMinutesTable[[Minutes]:[Minutes]]) *_xlfn.XLOOKUP(M$1,'Provider Rates'!$A$2:$A$15,'Provider Rates'!$C$2:$C$15)</f>
        <v>200</v>
      </c>
      <c r="N102" s="6" cm="1">
        <f t="array" ref="N102">_xlfn.XLOOKUP($B102,CodeMinutesTable[[Code]:[Code]],CodeMinutesTable[[Minutes]:[Minutes]]) *_xlfn.XLOOKUP(N$1,'Provider Rates'!$A$2:$A$15,'Provider Rates'!$C$2:$C$15)</f>
        <v>175</v>
      </c>
      <c r="O102" s="6" cm="1">
        <f t="array" ref="O102">_xlfn.XLOOKUP($B102,CodeMinutesTable[[Code]:[Code]],CodeMinutesTable[[Minutes]:[Minutes]]) *_xlfn.XLOOKUP(O$1,'Provider Rates'!$A$2:$A$15,'Provider Rates'!$C$2:$C$15)</f>
        <v>150</v>
      </c>
      <c r="P102" s="6" cm="1">
        <f t="array" ref="P102">_xlfn.XLOOKUP($B102,CodeMinutesTable[[Code]:[Code]],CodeMinutesTable[[Minutes]:[Minutes]]) *_xlfn.XLOOKUP(P$1,'Provider Rates'!$A$2:$A$15,'Provider Rates'!$C$2:$C$15)</f>
        <v>100</v>
      </c>
      <c r="Q102" s="6">
        <f>VLOOKUP($B102, CodeMinutesTable[[Code]:[Minutes]], 3, FALSE) * VLOOKUP(Q$1, ProviderRatesTable[], 3, FALSE)</f>
        <v>75</v>
      </c>
    </row>
    <row r="103" spans="1:17" hidden="1" x14ac:dyDescent="0.25">
      <c r="A103" s="3" t="str">
        <f>INDEX(CodeMinutesTable[Frequently Used],MATCH(CodeRatesTable[[#This Row],[Billing Code]],CodeMinutesTable[Code],0))</f>
        <v>No</v>
      </c>
      <c r="B103" s="3" t="s">
        <v>240</v>
      </c>
      <c r="C103" t="s">
        <v>241</v>
      </c>
      <c r="D103" s="6">
        <f>VLOOKUP($B103, CodeMinutesTable[[Code]:[Minutes]], 3, FALSE) * VLOOKUP(D$1, ProviderRatesTable[], 3, FALSE)</f>
        <v>793.33333333333326</v>
      </c>
      <c r="E103" s="6" cm="1">
        <f t="array" ref="E103">_xlfn.XLOOKUP($B103,CodeMinutesTable[[Code]:[Code]],CodeMinutesTable[[Minutes]:[Minutes]]) *_xlfn.XLOOKUP(E$1,'Provider Rates'!$A$2:$A$15,'Provider Rates'!$C$2:$C$15)</f>
        <v>746.66666666666674</v>
      </c>
      <c r="F103" s="6" cm="1">
        <f t="array" ref="F103">_xlfn.XLOOKUP($B103,CodeMinutesTable[[Code]:[Code]],CodeMinutesTable[[Minutes]:[Minutes]]) *_xlfn.XLOOKUP(F$1,'Provider Rates'!$A$2:$A$15,'Provider Rates'!$C$2:$C$15)</f>
        <v>700</v>
      </c>
      <c r="G103" s="6" cm="1">
        <f t="array" ref="G103">_xlfn.XLOOKUP($B103,CodeMinutesTable[[Code]:[Code]],CodeMinutesTable[[Minutes]:[Minutes]]) *_xlfn.XLOOKUP(G$1,'Provider Rates'!$A$2:$A$15,'Provider Rates'!$C$2:$C$15)</f>
        <v>653.33333333333326</v>
      </c>
      <c r="H103" s="6" cm="1">
        <f t="array" ref="H103">_xlfn.XLOOKUP($B103,CodeMinutesTable[[Code]:[Code]],CodeMinutesTable[[Minutes]:[Minutes]]) *_xlfn.XLOOKUP(H$1,'Provider Rates'!$A$2:$A$15,'Provider Rates'!$C$2:$C$15)</f>
        <v>606.66666666666674</v>
      </c>
      <c r="I103" s="6" cm="1">
        <f t="array" ref="I103">_xlfn.XLOOKUP($B103,CodeMinutesTable[[Code]:[Code]],CodeMinutesTable[[Minutes]:[Minutes]]) *_xlfn.XLOOKUP(I$1,'Provider Rates'!$A$2:$A$15,'Provider Rates'!$C$2:$C$15)</f>
        <v>560</v>
      </c>
      <c r="J103" s="6" cm="1">
        <f t="array" ref="J103">_xlfn.XLOOKUP($B103,CodeMinutesTable[[Code]:[Code]],CodeMinutesTable[[Minutes]:[Minutes]]) *_xlfn.XLOOKUP(J$1,'Provider Rates'!$A$2:$A$15,'Provider Rates'!$C$2:$C$15)</f>
        <v>513.33333333333326</v>
      </c>
      <c r="K103" s="6" cm="1">
        <f t="array" ref="K103">_xlfn.XLOOKUP($B103,CodeMinutesTable[[Code]:[Code]],CodeMinutesTable[[Minutes]:[Minutes]]) *_xlfn.XLOOKUP(K$1,'Provider Rates'!$A$2:$A$15,'Provider Rates'!$C$2:$C$15)</f>
        <v>466.66666666666669</v>
      </c>
      <c r="L103" s="6" cm="1">
        <f t="array" ref="L103">_xlfn.XLOOKUP($B103,CodeMinutesTable[[Code]:[Code]],CodeMinutesTable[[Minutes]:[Minutes]]) *_xlfn.XLOOKUP(L$1,'Provider Rates'!$A$2:$A$15,'Provider Rates'!$C$2:$C$15)</f>
        <v>420</v>
      </c>
      <c r="M103" s="6" cm="1">
        <f t="array" ref="M103">_xlfn.XLOOKUP($B103,CodeMinutesTable[[Code]:[Code]],CodeMinutesTable[[Minutes]:[Minutes]]) *_xlfn.XLOOKUP(M$1,'Provider Rates'!$A$2:$A$15,'Provider Rates'!$C$2:$C$15)</f>
        <v>373.33333333333337</v>
      </c>
      <c r="N103" s="6" cm="1">
        <f t="array" ref="N103">_xlfn.XLOOKUP($B103,CodeMinutesTable[[Code]:[Code]],CodeMinutesTable[[Minutes]:[Minutes]]) *_xlfn.XLOOKUP(N$1,'Provider Rates'!$A$2:$A$15,'Provider Rates'!$C$2:$C$15)</f>
        <v>326.66666666666663</v>
      </c>
      <c r="O103" s="6" cm="1">
        <f t="array" ref="O103">_xlfn.XLOOKUP($B103,CodeMinutesTable[[Code]:[Code]],CodeMinutesTable[[Minutes]:[Minutes]]) *_xlfn.XLOOKUP(O$1,'Provider Rates'!$A$2:$A$15,'Provider Rates'!$C$2:$C$15)</f>
        <v>280</v>
      </c>
      <c r="P103" s="6" cm="1">
        <f t="array" ref="P103">_xlfn.XLOOKUP($B103,CodeMinutesTable[[Code]:[Code]],CodeMinutesTable[[Minutes]:[Minutes]]) *_xlfn.XLOOKUP(P$1,'Provider Rates'!$A$2:$A$15,'Provider Rates'!$C$2:$C$15)</f>
        <v>186.66666666666669</v>
      </c>
      <c r="Q103" s="6">
        <f>VLOOKUP($B103, CodeMinutesTable[[Code]:[Minutes]], 3, FALSE) * VLOOKUP(Q$1, ProviderRatesTable[], 3, FALSE)</f>
        <v>140</v>
      </c>
    </row>
    <row r="104" spans="1:17" hidden="1" x14ac:dyDescent="0.25">
      <c r="A104" s="3" t="str">
        <f>INDEX(CodeMinutesTable[Frequently Used],MATCH(CodeRatesTable[[#This Row],[Billing Code]],CodeMinutesTable[Code],0))</f>
        <v>No</v>
      </c>
      <c r="B104" s="3" t="s">
        <v>242</v>
      </c>
      <c r="C104" t="s">
        <v>243</v>
      </c>
      <c r="D104" s="6">
        <f>VLOOKUP($B104, CodeMinutesTable[[Code]:[Minutes]], 3, FALSE) * VLOOKUP(D$1, ProviderRatesTable[], 3, FALSE)</f>
        <v>1218.3333333333333</v>
      </c>
      <c r="E104" s="6" cm="1">
        <f t="array" ref="E104">_xlfn.XLOOKUP($B104,CodeMinutesTable[[Code]:[Code]],CodeMinutesTable[[Minutes]:[Minutes]]) *_xlfn.XLOOKUP(E$1,'Provider Rates'!$A$2:$A$15,'Provider Rates'!$C$2:$C$15)</f>
        <v>1146.6666666666667</v>
      </c>
      <c r="F104" s="6" cm="1">
        <f t="array" ref="F104">_xlfn.XLOOKUP($B104,CodeMinutesTable[[Code]:[Code]],CodeMinutesTable[[Minutes]:[Minutes]]) *_xlfn.XLOOKUP(F$1,'Provider Rates'!$A$2:$A$15,'Provider Rates'!$C$2:$C$15)</f>
        <v>1075</v>
      </c>
      <c r="G104" s="6" cm="1">
        <f t="array" ref="G104">_xlfn.XLOOKUP($B104,CodeMinutesTable[[Code]:[Code]],CodeMinutesTable[[Minutes]:[Minutes]]) *_xlfn.XLOOKUP(G$1,'Provider Rates'!$A$2:$A$15,'Provider Rates'!$C$2:$C$15)</f>
        <v>1003.3333333333333</v>
      </c>
      <c r="H104" s="6" cm="1">
        <f t="array" ref="H104">_xlfn.XLOOKUP($B104,CodeMinutesTable[[Code]:[Code]],CodeMinutesTable[[Minutes]:[Minutes]]) *_xlfn.XLOOKUP(H$1,'Provider Rates'!$A$2:$A$15,'Provider Rates'!$C$2:$C$15)</f>
        <v>931.66666666666674</v>
      </c>
      <c r="I104" s="6" cm="1">
        <f t="array" ref="I104">_xlfn.XLOOKUP($B104,CodeMinutesTable[[Code]:[Code]],CodeMinutesTable[[Minutes]:[Minutes]]) *_xlfn.XLOOKUP(I$1,'Provider Rates'!$A$2:$A$15,'Provider Rates'!$C$2:$C$15)</f>
        <v>860</v>
      </c>
      <c r="J104" s="6" cm="1">
        <f t="array" ref="J104">_xlfn.XLOOKUP($B104,CodeMinutesTable[[Code]:[Code]],CodeMinutesTable[[Minutes]:[Minutes]]) *_xlfn.XLOOKUP(J$1,'Provider Rates'!$A$2:$A$15,'Provider Rates'!$C$2:$C$15)</f>
        <v>788.33333333333326</v>
      </c>
      <c r="K104" s="6" cm="1">
        <f t="array" ref="K104">_xlfn.XLOOKUP($B104,CodeMinutesTable[[Code]:[Code]],CodeMinutesTable[[Minutes]:[Minutes]]) *_xlfn.XLOOKUP(K$1,'Provider Rates'!$A$2:$A$15,'Provider Rates'!$C$2:$C$15)</f>
        <v>716.66666666666674</v>
      </c>
      <c r="L104" s="6" cm="1">
        <f t="array" ref="L104">_xlfn.XLOOKUP($B104,CodeMinutesTable[[Code]:[Code]],CodeMinutesTable[[Minutes]:[Minutes]]) *_xlfn.XLOOKUP(L$1,'Provider Rates'!$A$2:$A$15,'Provider Rates'!$C$2:$C$15)</f>
        <v>645</v>
      </c>
      <c r="M104" s="6" cm="1">
        <f t="array" ref="M104">_xlfn.XLOOKUP($B104,CodeMinutesTable[[Code]:[Code]],CodeMinutesTable[[Minutes]:[Minutes]]) *_xlfn.XLOOKUP(M$1,'Provider Rates'!$A$2:$A$15,'Provider Rates'!$C$2:$C$15)</f>
        <v>573.33333333333337</v>
      </c>
      <c r="N104" s="6" cm="1">
        <f t="array" ref="N104">_xlfn.XLOOKUP($B104,CodeMinutesTable[[Code]:[Code]],CodeMinutesTable[[Minutes]:[Minutes]]) *_xlfn.XLOOKUP(N$1,'Provider Rates'!$A$2:$A$15,'Provider Rates'!$C$2:$C$15)</f>
        <v>501.66666666666663</v>
      </c>
      <c r="O104" s="6" cm="1">
        <f t="array" ref="O104">_xlfn.XLOOKUP($B104,CodeMinutesTable[[Code]:[Code]],CodeMinutesTable[[Minutes]:[Minutes]]) *_xlfn.XLOOKUP(O$1,'Provider Rates'!$A$2:$A$15,'Provider Rates'!$C$2:$C$15)</f>
        <v>430</v>
      </c>
      <c r="P104" s="6" cm="1">
        <f t="array" ref="P104">_xlfn.XLOOKUP($B104,CodeMinutesTable[[Code]:[Code]],CodeMinutesTable[[Minutes]:[Minutes]]) *_xlfn.XLOOKUP(P$1,'Provider Rates'!$A$2:$A$15,'Provider Rates'!$C$2:$C$15)</f>
        <v>286.66666666666669</v>
      </c>
      <c r="Q104" s="6">
        <f>VLOOKUP($B104, CodeMinutesTable[[Code]:[Minutes]], 3, FALSE) * VLOOKUP(Q$1, ProviderRatesTable[], 3, FALSE)</f>
        <v>215</v>
      </c>
    </row>
    <row r="105" spans="1:17" hidden="1" x14ac:dyDescent="0.25">
      <c r="A105" s="3" t="str">
        <f>INDEX(CodeMinutesTable[Frequently Used],MATCH(CodeRatesTable[[#This Row],[Billing Code]],CodeMinutesTable[Code],0))</f>
        <v>No</v>
      </c>
      <c r="B105" s="3" t="s">
        <v>244</v>
      </c>
      <c r="C105" t="s">
        <v>245</v>
      </c>
      <c r="D105" s="6">
        <f>VLOOKUP($B105, CodeMinutesTable[[Code]:[Minutes]], 3, FALSE) * VLOOKUP(D$1, ProviderRatesTable[], 3, FALSE)</f>
        <v>1728.3333333333333</v>
      </c>
      <c r="E105" s="6" cm="1">
        <f t="array" ref="E105">_xlfn.XLOOKUP($B105,CodeMinutesTable[[Code]:[Code]],CodeMinutesTable[[Minutes]:[Minutes]]) *_xlfn.XLOOKUP(E$1,'Provider Rates'!$A$2:$A$15,'Provider Rates'!$C$2:$C$15)</f>
        <v>1626.6666666666667</v>
      </c>
      <c r="F105" s="6" cm="1">
        <f t="array" ref="F105">_xlfn.XLOOKUP($B105,CodeMinutesTable[[Code]:[Code]],CodeMinutesTable[[Minutes]:[Minutes]]) *_xlfn.XLOOKUP(F$1,'Provider Rates'!$A$2:$A$15,'Provider Rates'!$C$2:$C$15)</f>
        <v>1525</v>
      </c>
      <c r="G105" s="6" cm="1">
        <f t="array" ref="G105">_xlfn.XLOOKUP($B105,CodeMinutesTable[[Code]:[Code]],CodeMinutesTable[[Minutes]:[Minutes]]) *_xlfn.XLOOKUP(G$1,'Provider Rates'!$A$2:$A$15,'Provider Rates'!$C$2:$C$15)</f>
        <v>1423.3333333333333</v>
      </c>
      <c r="H105" s="6" cm="1">
        <f t="array" ref="H105">_xlfn.XLOOKUP($B105,CodeMinutesTable[[Code]:[Code]],CodeMinutesTable[[Minutes]:[Minutes]]) *_xlfn.XLOOKUP(H$1,'Provider Rates'!$A$2:$A$15,'Provider Rates'!$C$2:$C$15)</f>
        <v>1321.6666666666667</v>
      </c>
      <c r="I105" s="6" cm="1">
        <f t="array" ref="I105">_xlfn.XLOOKUP($B105,CodeMinutesTable[[Code]:[Code]],CodeMinutesTable[[Minutes]:[Minutes]]) *_xlfn.XLOOKUP(I$1,'Provider Rates'!$A$2:$A$15,'Provider Rates'!$C$2:$C$15)</f>
        <v>1220</v>
      </c>
      <c r="J105" s="6" cm="1">
        <f t="array" ref="J105">_xlfn.XLOOKUP($B105,CodeMinutesTable[[Code]:[Code]],CodeMinutesTable[[Minutes]:[Minutes]]) *_xlfn.XLOOKUP(J$1,'Provider Rates'!$A$2:$A$15,'Provider Rates'!$C$2:$C$15)</f>
        <v>1118.3333333333333</v>
      </c>
      <c r="K105" s="6" cm="1">
        <f t="array" ref="K105">_xlfn.XLOOKUP($B105,CodeMinutesTable[[Code]:[Code]],CodeMinutesTable[[Minutes]:[Minutes]]) *_xlfn.XLOOKUP(K$1,'Provider Rates'!$A$2:$A$15,'Provider Rates'!$C$2:$C$15)</f>
        <v>1016.6666666666667</v>
      </c>
      <c r="L105" s="6" cm="1">
        <f t="array" ref="L105">_xlfn.XLOOKUP($B105,CodeMinutesTable[[Code]:[Code]],CodeMinutesTable[[Minutes]:[Minutes]]) *_xlfn.XLOOKUP(L$1,'Provider Rates'!$A$2:$A$15,'Provider Rates'!$C$2:$C$15)</f>
        <v>915</v>
      </c>
      <c r="M105" s="6" cm="1">
        <f t="array" ref="M105">_xlfn.XLOOKUP($B105,CodeMinutesTable[[Code]:[Code]],CodeMinutesTable[[Minutes]:[Minutes]]) *_xlfn.XLOOKUP(M$1,'Provider Rates'!$A$2:$A$15,'Provider Rates'!$C$2:$C$15)</f>
        <v>813.33333333333337</v>
      </c>
      <c r="N105" s="6" cm="1">
        <f t="array" ref="N105">_xlfn.XLOOKUP($B105,CodeMinutesTable[[Code]:[Code]],CodeMinutesTable[[Minutes]:[Minutes]]) *_xlfn.XLOOKUP(N$1,'Provider Rates'!$A$2:$A$15,'Provider Rates'!$C$2:$C$15)</f>
        <v>711.66666666666663</v>
      </c>
      <c r="O105" s="6" cm="1">
        <f t="array" ref="O105">_xlfn.XLOOKUP($B105,CodeMinutesTable[[Code]:[Code]],CodeMinutesTable[[Minutes]:[Minutes]]) *_xlfn.XLOOKUP(O$1,'Provider Rates'!$A$2:$A$15,'Provider Rates'!$C$2:$C$15)</f>
        <v>610</v>
      </c>
      <c r="P105" s="6" cm="1">
        <f t="array" ref="P105">_xlfn.XLOOKUP($B105,CodeMinutesTable[[Code]:[Code]],CodeMinutesTable[[Minutes]:[Minutes]]) *_xlfn.XLOOKUP(P$1,'Provider Rates'!$A$2:$A$15,'Provider Rates'!$C$2:$C$15)</f>
        <v>406.66666666666669</v>
      </c>
      <c r="Q105" s="6">
        <f>VLOOKUP($B105, CodeMinutesTable[[Code]:[Minutes]], 3, FALSE) * VLOOKUP(Q$1, ProviderRatesTable[], 3, FALSE)</f>
        <v>305</v>
      </c>
    </row>
    <row r="106" spans="1:17" hidden="1" x14ac:dyDescent="0.25">
      <c r="A106" s="3" t="str">
        <f>INDEX(CodeMinutesTable[Frequently Used],MATCH(CodeRatesTable[[#This Row],[Billing Code]],CodeMinutesTable[Code],0))</f>
        <v>No</v>
      </c>
      <c r="B106" s="3" t="s">
        <v>246</v>
      </c>
      <c r="C106" t="s">
        <v>247</v>
      </c>
      <c r="D106" s="6">
        <f>VLOOKUP($B106, CodeMinutesTable[[Code]:[Minutes]], 3, FALSE) * VLOOKUP(D$1, ProviderRatesTable[], 3, FALSE)</f>
        <v>566.66666666666663</v>
      </c>
      <c r="E106" s="6" cm="1">
        <f t="array" ref="E106">_xlfn.XLOOKUP($B106,CodeMinutesTable[[Code]:[Code]],CodeMinutesTable[[Minutes]:[Minutes]]) *_xlfn.XLOOKUP(E$1,'Provider Rates'!$A$2:$A$15,'Provider Rates'!$C$2:$C$15)</f>
        <v>533.33333333333337</v>
      </c>
      <c r="F106" s="6" cm="1">
        <f t="array" ref="F106">_xlfn.XLOOKUP($B106,CodeMinutesTable[[Code]:[Code]],CodeMinutesTable[[Minutes]:[Minutes]]) *_xlfn.XLOOKUP(F$1,'Provider Rates'!$A$2:$A$15,'Provider Rates'!$C$2:$C$15)</f>
        <v>500</v>
      </c>
      <c r="G106" s="6" cm="1">
        <f t="array" ref="G106">_xlfn.XLOOKUP($B106,CodeMinutesTable[[Code]:[Code]],CodeMinutesTable[[Minutes]:[Minutes]]) *_xlfn.XLOOKUP(G$1,'Provider Rates'!$A$2:$A$15,'Provider Rates'!$C$2:$C$15)</f>
        <v>466.66666666666663</v>
      </c>
      <c r="H106" s="6" cm="1">
        <f t="array" ref="H106">_xlfn.XLOOKUP($B106,CodeMinutesTable[[Code]:[Code]],CodeMinutesTable[[Minutes]:[Minutes]]) *_xlfn.XLOOKUP(H$1,'Provider Rates'!$A$2:$A$15,'Provider Rates'!$C$2:$C$15)</f>
        <v>433.33333333333337</v>
      </c>
      <c r="I106" s="6" cm="1">
        <f t="array" ref="I106">_xlfn.XLOOKUP($B106,CodeMinutesTable[[Code]:[Code]],CodeMinutesTable[[Minutes]:[Minutes]]) *_xlfn.XLOOKUP(I$1,'Provider Rates'!$A$2:$A$15,'Provider Rates'!$C$2:$C$15)</f>
        <v>400</v>
      </c>
      <c r="J106" s="6" cm="1">
        <f t="array" ref="J106">_xlfn.XLOOKUP($B106,CodeMinutesTable[[Code]:[Code]],CodeMinutesTable[[Minutes]:[Minutes]]) *_xlfn.XLOOKUP(J$1,'Provider Rates'!$A$2:$A$15,'Provider Rates'!$C$2:$C$15)</f>
        <v>366.66666666666663</v>
      </c>
      <c r="K106" s="6" cm="1">
        <f t="array" ref="K106">_xlfn.XLOOKUP($B106,CodeMinutesTable[[Code]:[Code]],CodeMinutesTable[[Minutes]:[Minutes]]) *_xlfn.XLOOKUP(K$1,'Provider Rates'!$A$2:$A$15,'Provider Rates'!$C$2:$C$15)</f>
        <v>333.33333333333337</v>
      </c>
      <c r="L106" s="6" cm="1">
        <f t="array" ref="L106">_xlfn.XLOOKUP($B106,CodeMinutesTable[[Code]:[Code]],CodeMinutesTable[[Minutes]:[Minutes]]) *_xlfn.XLOOKUP(L$1,'Provider Rates'!$A$2:$A$15,'Provider Rates'!$C$2:$C$15)</f>
        <v>300</v>
      </c>
      <c r="M106" s="6" cm="1">
        <f t="array" ref="M106">_xlfn.XLOOKUP($B106,CodeMinutesTable[[Code]:[Code]],CodeMinutesTable[[Minutes]:[Minutes]]) *_xlfn.XLOOKUP(M$1,'Provider Rates'!$A$2:$A$15,'Provider Rates'!$C$2:$C$15)</f>
        <v>266.66666666666669</v>
      </c>
      <c r="N106" s="6" cm="1">
        <f t="array" ref="N106">_xlfn.XLOOKUP($B106,CodeMinutesTable[[Code]:[Code]],CodeMinutesTable[[Minutes]:[Minutes]]) *_xlfn.XLOOKUP(N$1,'Provider Rates'!$A$2:$A$15,'Provider Rates'!$C$2:$C$15)</f>
        <v>233.33333333333331</v>
      </c>
      <c r="O106" s="6" cm="1">
        <f t="array" ref="O106">_xlfn.XLOOKUP($B106,CodeMinutesTable[[Code]:[Code]],CodeMinutesTable[[Minutes]:[Minutes]]) *_xlfn.XLOOKUP(O$1,'Provider Rates'!$A$2:$A$15,'Provider Rates'!$C$2:$C$15)</f>
        <v>200</v>
      </c>
      <c r="P106" s="6" cm="1">
        <f t="array" ref="P106">_xlfn.XLOOKUP($B106,CodeMinutesTable[[Code]:[Code]],CodeMinutesTable[[Minutes]:[Minutes]]) *_xlfn.XLOOKUP(P$1,'Provider Rates'!$A$2:$A$15,'Provider Rates'!$C$2:$C$15)</f>
        <v>133.33333333333334</v>
      </c>
      <c r="Q106" s="6">
        <f>VLOOKUP($B106, CodeMinutesTable[[Code]:[Minutes]], 3, FALSE) * VLOOKUP(Q$1, ProviderRatesTable[], 3, FALSE)</f>
        <v>100</v>
      </c>
    </row>
    <row r="107" spans="1:17" hidden="1" x14ac:dyDescent="0.25">
      <c r="A107" s="3" t="str">
        <f>INDEX(CodeMinutesTable[Frequently Used],MATCH(CodeRatesTable[[#This Row],[Billing Code]],CodeMinutesTable[Code],0))</f>
        <v>No</v>
      </c>
      <c r="B107" s="3" t="s">
        <v>248</v>
      </c>
      <c r="C107" t="s">
        <v>249</v>
      </c>
      <c r="D107" s="6">
        <f>VLOOKUP($B107, CodeMinutesTable[[Code]:[Minutes]], 3, FALSE) * VLOOKUP(D$1, ProviderRatesTable[], 3, FALSE)</f>
        <v>878.33333333333326</v>
      </c>
      <c r="E107" s="6" cm="1">
        <f t="array" ref="E107">_xlfn.XLOOKUP($B107,CodeMinutesTable[[Code]:[Code]],CodeMinutesTable[[Minutes]:[Minutes]]) *_xlfn.XLOOKUP(E$1,'Provider Rates'!$A$2:$A$15,'Provider Rates'!$C$2:$C$15)</f>
        <v>826.66666666666674</v>
      </c>
      <c r="F107" s="6" cm="1">
        <f t="array" ref="F107">_xlfn.XLOOKUP($B107,CodeMinutesTable[[Code]:[Code]],CodeMinutesTable[[Minutes]:[Minutes]]) *_xlfn.XLOOKUP(F$1,'Provider Rates'!$A$2:$A$15,'Provider Rates'!$C$2:$C$15)</f>
        <v>775</v>
      </c>
      <c r="G107" s="6" cm="1">
        <f t="array" ref="G107">_xlfn.XLOOKUP($B107,CodeMinutesTable[[Code]:[Code]],CodeMinutesTable[[Minutes]:[Minutes]]) *_xlfn.XLOOKUP(G$1,'Provider Rates'!$A$2:$A$15,'Provider Rates'!$C$2:$C$15)</f>
        <v>723.33333333333326</v>
      </c>
      <c r="H107" s="6" cm="1">
        <f t="array" ref="H107">_xlfn.XLOOKUP($B107,CodeMinutesTable[[Code]:[Code]],CodeMinutesTable[[Minutes]:[Minutes]]) *_xlfn.XLOOKUP(H$1,'Provider Rates'!$A$2:$A$15,'Provider Rates'!$C$2:$C$15)</f>
        <v>671.66666666666674</v>
      </c>
      <c r="I107" s="6" cm="1">
        <f t="array" ref="I107">_xlfn.XLOOKUP($B107,CodeMinutesTable[[Code]:[Code]],CodeMinutesTable[[Minutes]:[Minutes]]) *_xlfn.XLOOKUP(I$1,'Provider Rates'!$A$2:$A$15,'Provider Rates'!$C$2:$C$15)</f>
        <v>620</v>
      </c>
      <c r="J107" s="6" cm="1">
        <f t="array" ref="J107">_xlfn.XLOOKUP($B107,CodeMinutesTable[[Code]:[Code]],CodeMinutesTable[[Minutes]:[Minutes]]) *_xlfn.XLOOKUP(J$1,'Provider Rates'!$A$2:$A$15,'Provider Rates'!$C$2:$C$15)</f>
        <v>568.33333333333326</v>
      </c>
      <c r="K107" s="6" cm="1">
        <f t="array" ref="K107">_xlfn.XLOOKUP($B107,CodeMinutesTable[[Code]:[Code]],CodeMinutesTable[[Minutes]:[Minutes]]) *_xlfn.XLOOKUP(K$1,'Provider Rates'!$A$2:$A$15,'Provider Rates'!$C$2:$C$15)</f>
        <v>516.66666666666674</v>
      </c>
      <c r="L107" s="6" cm="1">
        <f t="array" ref="L107">_xlfn.XLOOKUP($B107,CodeMinutesTable[[Code]:[Code]],CodeMinutesTable[[Minutes]:[Minutes]]) *_xlfn.XLOOKUP(L$1,'Provider Rates'!$A$2:$A$15,'Provider Rates'!$C$2:$C$15)</f>
        <v>465</v>
      </c>
      <c r="M107" s="6" cm="1">
        <f t="array" ref="M107">_xlfn.XLOOKUP($B107,CodeMinutesTable[[Code]:[Code]],CodeMinutesTable[[Minutes]:[Minutes]]) *_xlfn.XLOOKUP(M$1,'Provider Rates'!$A$2:$A$15,'Provider Rates'!$C$2:$C$15)</f>
        <v>413.33333333333337</v>
      </c>
      <c r="N107" s="6" cm="1">
        <f t="array" ref="N107">_xlfn.XLOOKUP($B107,CodeMinutesTable[[Code]:[Code]],CodeMinutesTable[[Minutes]:[Minutes]]) *_xlfn.XLOOKUP(N$1,'Provider Rates'!$A$2:$A$15,'Provider Rates'!$C$2:$C$15)</f>
        <v>361.66666666666663</v>
      </c>
      <c r="O107" s="6" cm="1">
        <f t="array" ref="O107">_xlfn.XLOOKUP($B107,CodeMinutesTable[[Code]:[Code]],CodeMinutesTable[[Minutes]:[Minutes]]) *_xlfn.XLOOKUP(O$1,'Provider Rates'!$A$2:$A$15,'Provider Rates'!$C$2:$C$15)</f>
        <v>310</v>
      </c>
      <c r="P107" s="6" cm="1">
        <f t="array" ref="P107">_xlfn.XLOOKUP($B107,CodeMinutesTable[[Code]:[Code]],CodeMinutesTable[[Minutes]:[Minutes]]) *_xlfn.XLOOKUP(P$1,'Provider Rates'!$A$2:$A$15,'Provider Rates'!$C$2:$C$15)</f>
        <v>206.66666666666669</v>
      </c>
      <c r="Q107" s="6">
        <f>VLOOKUP($B107, CodeMinutesTable[[Code]:[Minutes]], 3, FALSE) * VLOOKUP(Q$1, ProviderRatesTable[], 3, FALSE)</f>
        <v>155</v>
      </c>
    </row>
    <row r="108" spans="1:17" hidden="1" x14ac:dyDescent="0.25">
      <c r="A108" s="3" t="str">
        <f>INDEX(CodeMinutesTable[Frequently Used],MATCH(CodeRatesTable[[#This Row],[Billing Code]],CodeMinutesTable[Code],0))</f>
        <v>No</v>
      </c>
      <c r="B108" s="3" t="s">
        <v>250</v>
      </c>
      <c r="C108" t="s">
        <v>251</v>
      </c>
      <c r="D108" s="6">
        <f>VLOOKUP($B108, CodeMinutesTable[[Code]:[Minutes]], 3, FALSE) * VLOOKUP(D$1, ProviderRatesTable[], 3, FALSE)</f>
        <v>1218.3333333333333</v>
      </c>
      <c r="E108" s="6" cm="1">
        <f t="array" ref="E108">_xlfn.XLOOKUP($B108,CodeMinutesTable[[Code]:[Code]],CodeMinutesTable[[Minutes]:[Minutes]]) *_xlfn.XLOOKUP(E$1,'Provider Rates'!$A$2:$A$15,'Provider Rates'!$C$2:$C$15)</f>
        <v>1146.6666666666667</v>
      </c>
      <c r="F108" s="6" cm="1">
        <f t="array" ref="F108">_xlfn.XLOOKUP($B108,CodeMinutesTable[[Code]:[Code]],CodeMinutesTable[[Minutes]:[Minutes]]) *_xlfn.XLOOKUP(F$1,'Provider Rates'!$A$2:$A$15,'Provider Rates'!$C$2:$C$15)</f>
        <v>1075</v>
      </c>
      <c r="G108" s="6" cm="1">
        <f t="array" ref="G108">_xlfn.XLOOKUP($B108,CodeMinutesTable[[Code]:[Code]],CodeMinutesTable[[Minutes]:[Minutes]]) *_xlfn.XLOOKUP(G$1,'Provider Rates'!$A$2:$A$15,'Provider Rates'!$C$2:$C$15)</f>
        <v>1003.3333333333333</v>
      </c>
      <c r="H108" s="6" cm="1">
        <f t="array" ref="H108">_xlfn.XLOOKUP($B108,CodeMinutesTable[[Code]:[Code]],CodeMinutesTable[[Minutes]:[Minutes]]) *_xlfn.XLOOKUP(H$1,'Provider Rates'!$A$2:$A$15,'Provider Rates'!$C$2:$C$15)</f>
        <v>931.66666666666674</v>
      </c>
      <c r="I108" s="6" cm="1">
        <f t="array" ref="I108">_xlfn.XLOOKUP($B108,CodeMinutesTable[[Code]:[Code]],CodeMinutesTable[[Minutes]:[Minutes]]) *_xlfn.XLOOKUP(I$1,'Provider Rates'!$A$2:$A$15,'Provider Rates'!$C$2:$C$15)</f>
        <v>860</v>
      </c>
      <c r="J108" s="6" cm="1">
        <f t="array" ref="J108">_xlfn.XLOOKUP($B108,CodeMinutesTable[[Code]:[Code]],CodeMinutesTable[[Minutes]:[Minutes]]) *_xlfn.XLOOKUP(J$1,'Provider Rates'!$A$2:$A$15,'Provider Rates'!$C$2:$C$15)</f>
        <v>788.33333333333326</v>
      </c>
      <c r="K108" s="6" cm="1">
        <f t="array" ref="K108">_xlfn.XLOOKUP($B108,CodeMinutesTable[[Code]:[Code]],CodeMinutesTable[[Minutes]:[Minutes]]) *_xlfn.XLOOKUP(K$1,'Provider Rates'!$A$2:$A$15,'Provider Rates'!$C$2:$C$15)</f>
        <v>716.66666666666674</v>
      </c>
      <c r="L108" s="6" cm="1">
        <f t="array" ref="L108">_xlfn.XLOOKUP($B108,CodeMinutesTable[[Code]:[Code]],CodeMinutesTable[[Minutes]:[Minutes]]) *_xlfn.XLOOKUP(L$1,'Provider Rates'!$A$2:$A$15,'Provider Rates'!$C$2:$C$15)</f>
        <v>645</v>
      </c>
      <c r="M108" s="6" cm="1">
        <f t="array" ref="M108">_xlfn.XLOOKUP($B108,CodeMinutesTable[[Code]:[Code]],CodeMinutesTable[[Minutes]:[Minutes]]) *_xlfn.XLOOKUP(M$1,'Provider Rates'!$A$2:$A$15,'Provider Rates'!$C$2:$C$15)</f>
        <v>573.33333333333337</v>
      </c>
      <c r="N108" s="6" cm="1">
        <f t="array" ref="N108">_xlfn.XLOOKUP($B108,CodeMinutesTable[[Code]:[Code]],CodeMinutesTable[[Minutes]:[Minutes]]) *_xlfn.XLOOKUP(N$1,'Provider Rates'!$A$2:$A$15,'Provider Rates'!$C$2:$C$15)</f>
        <v>501.66666666666663</v>
      </c>
      <c r="O108" s="6" cm="1">
        <f t="array" ref="O108">_xlfn.XLOOKUP($B108,CodeMinutesTable[[Code]:[Code]],CodeMinutesTable[[Minutes]:[Minutes]]) *_xlfn.XLOOKUP(O$1,'Provider Rates'!$A$2:$A$15,'Provider Rates'!$C$2:$C$15)</f>
        <v>430</v>
      </c>
      <c r="P108" s="6" cm="1">
        <f t="array" ref="P108">_xlfn.XLOOKUP($B108,CodeMinutesTable[[Code]:[Code]],CodeMinutesTable[[Minutes]:[Minutes]]) *_xlfn.XLOOKUP(P$1,'Provider Rates'!$A$2:$A$15,'Provider Rates'!$C$2:$C$15)</f>
        <v>286.66666666666669</v>
      </c>
      <c r="Q108" s="6">
        <f>VLOOKUP($B108, CodeMinutesTable[[Code]:[Minutes]], 3, FALSE) * VLOOKUP(Q$1, ProviderRatesTable[], 3, FALSE)</f>
        <v>215</v>
      </c>
    </row>
    <row r="109" spans="1:17" hidden="1" x14ac:dyDescent="0.25">
      <c r="A109" s="3" t="str">
        <f>INDEX(CodeMinutesTable[Frequently Used],MATCH(CodeRatesTable[[#This Row],[Billing Code]],CodeMinutesTable[Code],0))</f>
        <v>No</v>
      </c>
      <c r="B109" s="3" t="s">
        <v>252</v>
      </c>
      <c r="C109" t="s">
        <v>253</v>
      </c>
      <c r="D109" s="6">
        <f>VLOOKUP($B109, CodeMinutesTable[[Code]:[Minutes]], 3, FALSE) * VLOOKUP(D$1, ProviderRatesTable[], 3, FALSE)</f>
        <v>1643.3333333333333</v>
      </c>
      <c r="E109" s="6" cm="1">
        <f t="array" ref="E109">_xlfn.XLOOKUP($B109,CodeMinutesTable[[Code]:[Code]],CodeMinutesTable[[Minutes]:[Minutes]]) *_xlfn.XLOOKUP(E$1,'Provider Rates'!$A$2:$A$15,'Provider Rates'!$C$2:$C$15)</f>
        <v>1546.6666666666667</v>
      </c>
      <c r="F109" s="6" cm="1">
        <f t="array" ref="F109">_xlfn.XLOOKUP($B109,CodeMinutesTable[[Code]:[Code]],CodeMinutesTable[[Minutes]:[Minutes]]) *_xlfn.XLOOKUP(F$1,'Provider Rates'!$A$2:$A$15,'Provider Rates'!$C$2:$C$15)</f>
        <v>1450</v>
      </c>
      <c r="G109" s="6" cm="1">
        <f t="array" ref="G109">_xlfn.XLOOKUP($B109,CodeMinutesTable[[Code]:[Code]],CodeMinutesTable[[Minutes]:[Minutes]]) *_xlfn.XLOOKUP(G$1,'Provider Rates'!$A$2:$A$15,'Provider Rates'!$C$2:$C$15)</f>
        <v>1353.3333333333333</v>
      </c>
      <c r="H109" s="6" cm="1">
        <f t="array" ref="H109">_xlfn.XLOOKUP($B109,CodeMinutesTable[[Code]:[Code]],CodeMinutesTable[[Minutes]:[Minutes]]) *_xlfn.XLOOKUP(H$1,'Provider Rates'!$A$2:$A$15,'Provider Rates'!$C$2:$C$15)</f>
        <v>1256.6666666666667</v>
      </c>
      <c r="I109" s="6" cm="1">
        <f t="array" ref="I109">_xlfn.XLOOKUP($B109,CodeMinutesTable[[Code]:[Code]],CodeMinutesTable[[Minutes]:[Minutes]]) *_xlfn.XLOOKUP(I$1,'Provider Rates'!$A$2:$A$15,'Provider Rates'!$C$2:$C$15)</f>
        <v>1160</v>
      </c>
      <c r="J109" s="6" cm="1">
        <f t="array" ref="J109">_xlfn.XLOOKUP($B109,CodeMinutesTable[[Code]:[Code]],CodeMinutesTable[[Minutes]:[Minutes]]) *_xlfn.XLOOKUP(J$1,'Provider Rates'!$A$2:$A$15,'Provider Rates'!$C$2:$C$15)</f>
        <v>1063.3333333333333</v>
      </c>
      <c r="K109" s="6" cm="1">
        <f t="array" ref="K109">_xlfn.XLOOKUP($B109,CodeMinutesTable[[Code]:[Code]],CodeMinutesTable[[Minutes]:[Minutes]]) *_xlfn.XLOOKUP(K$1,'Provider Rates'!$A$2:$A$15,'Provider Rates'!$C$2:$C$15)</f>
        <v>966.66666666666674</v>
      </c>
      <c r="L109" s="6" cm="1">
        <f t="array" ref="L109">_xlfn.XLOOKUP($B109,CodeMinutesTable[[Code]:[Code]],CodeMinutesTable[[Minutes]:[Minutes]]) *_xlfn.XLOOKUP(L$1,'Provider Rates'!$A$2:$A$15,'Provider Rates'!$C$2:$C$15)</f>
        <v>870</v>
      </c>
      <c r="M109" s="6" cm="1">
        <f t="array" ref="M109">_xlfn.XLOOKUP($B109,CodeMinutesTable[[Code]:[Code]],CodeMinutesTable[[Minutes]:[Minutes]]) *_xlfn.XLOOKUP(M$1,'Provider Rates'!$A$2:$A$15,'Provider Rates'!$C$2:$C$15)</f>
        <v>773.33333333333337</v>
      </c>
      <c r="N109" s="6" cm="1">
        <f t="array" ref="N109">_xlfn.XLOOKUP($B109,CodeMinutesTable[[Code]:[Code]],CodeMinutesTable[[Minutes]:[Minutes]]) *_xlfn.XLOOKUP(N$1,'Provider Rates'!$A$2:$A$15,'Provider Rates'!$C$2:$C$15)</f>
        <v>676.66666666666663</v>
      </c>
      <c r="O109" s="6" cm="1">
        <f t="array" ref="O109">_xlfn.XLOOKUP($B109,CodeMinutesTable[[Code]:[Code]],CodeMinutesTable[[Minutes]:[Minutes]]) *_xlfn.XLOOKUP(O$1,'Provider Rates'!$A$2:$A$15,'Provider Rates'!$C$2:$C$15)</f>
        <v>580</v>
      </c>
      <c r="P109" s="6" cm="1">
        <f t="array" ref="P109">_xlfn.XLOOKUP($B109,CodeMinutesTable[[Code]:[Code]],CodeMinutesTable[[Minutes]:[Minutes]]) *_xlfn.XLOOKUP(P$1,'Provider Rates'!$A$2:$A$15,'Provider Rates'!$C$2:$C$15)</f>
        <v>386.66666666666669</v>
      </c>
      <c r="Q109" s="6">
        <f>VLOOKUP($B109, CodeMinutesTable[[Code]:[Minutes]], 3, FALSE) * VLOOKUP(Q$1, ProviderRatesTable[], 3, FALSE)</f>
        <v>290</v>
      </c>
    </row>
    <row r="110" spans="1:17" hidden="1" x14ac:dyDescent="0.25">
      <c r="A110" s="3" t="str">
        <f>INDEX(CodeMinutesTable[Frequently Used],MATCH(CodeRatesTable[[#This Row],[Billing Code]],CodeMinutesTable[Code],0))</f>
        <v>No</v>
      </c>
      <c r="B110" s="3" t="s">
        <v>254</v>
      </c>
      <c r="C110" t="s">
        <v>255</v>
      </c>
      <c r="D110" s="6">
        <f>VLOOKUP($B110, CodeMinutesTable[[Code]:[Minutes]], 3, FALSE) * VLOOKUP(D$1, ProviderRatesTable[], 3, FALSE)</f>
        <v>2068.333333333333</v>
      </c>
      <c r="E110" s="6" cm="1">
        <f t="array" ref="E110">_xlfn.XLOOKUP($B110,CodeMinutesTable[[Code]:[Code]],CodeMinutesTable[[Minutes]:[Minutes]]) *_xlfn.XLOOKUP(E$1,'Provider Rates'!$A$2:$A$15,'Provider Rates'!$C$2:$C$15)</f>
        <v>1946.6666666666667</v>
      </c>
      <c r="F110" s="6" cm="1">
        <f t="array" ref="F110">_xlfn.XLOOKUP($B110,CodeMinutesTable[[Code]:[Code]],CodeMinutesTable[[Minutes]:[Minutes]]) *_xlfn.XLOOKUP(F$1,'Provider Rates'!$A$2:$A$15,'Provider Rates'!$C$2:$C$15)</f>
        <v>1825</v>
      </c>
      <c r="G110" s="6" cm="1">
        <f t="array" ref="G110">_xlfn.XLOOKUP($B110,CodeMinutesTable[[Code]:[Code]],CodeMinutesTable[[Minutes]:[Minutes]]) *_xlfn.XLOOKUP(G$1,'Provider Rates'!$A$2:$A$15,'Provider Rates'!$C$2:$C$15)</f>
        <v>1703.3333333333333</v>
      </c>
      <c r="H110" s="6" cm="1">
        <f t="array" ref="H110">_xlfn.XLOOKUP($B110,CodeMinutesTable[[Code]:[Code]],CodeMinutesTable[[Minutes]:[Minutes]]) *_xlfn.XLOOKUP(H$1,'Provider Rates'!$A$2:$A$15,'Provider Rates'!$C$2:$C$15)</f>
        <v>1581.6666666666667</v>
      </c>
      <c r="I110" s="6" cm="1">
        <f t="array" ref="I110">_xlfn.XLOOKUP($B110,CodeMinutesTable[[Code]:[Code]],CodeMinutesTable[[Minutes]:[Minutes]]) *_xlfn.XLOOKUP(I$1,'Provider Rates'!$A$2:$A$15,'Provider Rates'!$C$2:$C$15)</f>
        <v>1460</v>
      </c>
      <c r="J110" s="6" cm="1">
        <f t="array" ref="J110">_xlfn.XLOOKUP($B110,CodeMinutesTable[[Code]:[Code]],CodeMinutesTable[[Minutes]:[Minutes]]) *_xlfn.XLOOKUP(J$1,'Provider Rates'!$A$2:$A$15,'Provider Rates'!$C$2:$C$15)</f>
        <v>1338.3333333333333</v>
      </c>
      <c r="K110" s="6" cm="1">
        <f t="array" ref="K110">_xlfn.XLOOKUP($B110,CodeMinutesTable[[Code]:[Code]],CodeMinutesTable[[Minutes]:[Minutes]]) *_xlfn.XLOOKUP(K$1,'Provider Rates'!$A$2:$A$15,'Provider Rates'!$C$2:$C$15)</f>
        <v>1216.6666666666667</v>
      </c>
      <c r="L110" s="6" cm="1">
        <f t="array" ref="L110">_xlfn.XLOOKUP($B110,CodeMinutesTable[[Code]:[Code]],CodeMinutesTable[[Minutes]:[Minutes]]) *_xlfn.XLOOKUP(L$1,'Provider Rates'!$A$2:$A$15,'Provider Rates'!$C$2:$C$15)</f>
        <v>1095</v>
      </c>
      <c r="M110" s="6" cm="1">
        <f t="array" ref="M110">_xlfn.XLOOKUP($B110,CodeMinutesTable[[Code]:[Code]],CodeMinutesTable[[Minutes]:[Minutes]]) *_xlfn.XLOOKUP(M$1,'Provider Rates'!$A$2:$A$15,'Provider Rates'!$C$2:$C$15)</f>
        <v>973.33333333333337</v>
      </c>
      <c r="N110" s="6" cm="1">
        <f t="array" ref="N110">_xlfn.XLOOKUP($B110,CodeMinutesTable[[Code]:[Code]],CodeMinutesTable[[Minutes]:[Minutes]]) *_xlfn.XLOOKUP(N$1,'Provider Rates'!$A$2:$A$15,'Provider Rates'!$C$2:$C$15)</f>
        <v>851.66666666666663</v>
      </c>
      <c r="O110" s="6" cm="1">
        <f t="array" ref="O110">_xlfn.XLOOKUP($B110,CodeMinutesTable[[Code]:[Code]],CodeMinutesTable[[Minutes]:[Minutes]]) *_xlfn.XLOOKUP(O$1,'Provider Rates'!$A$2:$A$15,'Provider Rates'!$C$2:$C$15)</f>
        <v>730</v>
      </c>
      <c r="P110" s="6" cm="1">
        <f t="array" ref="P110">_xlfn.XLOOKUP($B110,CodeMinutesTable[[Code]:[Code]],CodeMinutesTable[[Minutes]:[Minutes]]) *_xlfn.XLOOKUP(P$1,'Provider Rates'!$A$2:$A$15,'Provider Rates'!$C$2:$C$15)</f>
        <v>486.66666666666669</v>
      </c>
      <c r="Q110" s="6">
        <f>VLOOKUP($B110, CodeMinutesTable[[Code]:[Minutes]], 3, FALSE) * VLOOKUP(Q$1, ProviderRatesTable[], 3, FALSE)</f>
        <v>365</v>
      </c>
    </row>
    <row r="111" spans="1:17" hidden="1" x14ac:dyDescent="0.25">
      <c r="A111" s="3" t="str">
        <f>INDEX(CodeMinutesTable[Frequently Used],MATCH(CodeRatesTable[[#This Row],[Billing Code]],CodeMinutesTable[Code],0))</f>
        <v>No</v>
      </c>
      <c r="B111" s="3" t="s">
        <v>256</v>
      </c>
      <c r="C111" t="s">
        <v>257</v>
      </c>
      <c r="D111" s="6">
        <f>VLOOKUP($B111, CodeMinutesTable[[Code]:[Minutes]], 3, FALSE) * VLOOKUP(D$1, ProviderRatesTable[], 3, FALSE)</f>
        <v>425</v>
      </c>
      <c r="E111" s="6" cm="1">
        <f t="array" ref="E111">_xlfn.XLOOKUP($B111,CodeMinutesTable[[Code]:[Code]],CodeMinutesTable[[Minutes]:[Minutes]]) *_xlfn.XLOOKUP(E$1,'Provider Rates'!$A$2:$A$15,'Provider Rates'!$C$2:$C$15)</f>
        <v>400</v>
      </c>
      <c r="F111" s="6" cm="1">
        <f t="array" ref="F111">_xlfn.XLOOKUP($B111,CodeMinutesTable[[Code]:[Code]],CodeMinutesTable[[Minutes]:[Minutes]]) *_xlfn.XLOOKUP(F$1,'Provider Rates'!$A$2:$A$15,'Provider Rates'!$C$2:$C$15)</f>
        <v>375</v>
      </c>
      <c r="G111" s="6" cm="1">
        <f t="array" ref="G111">_xlfn.XLOOKUP($B111,CodeMinutesTable[[Code]:[Code]],CodeMinutesTable[[Minutes]:[Minutes]]) *_xlfn.XLOOKUP(G$1,'Provider Rates'!$A$2:$A$15,'Provider Rates'!$C$2:$C$15)</f>
        <v>350</v>
      </c>
      <c r="H111" s="6" cm="1">
        <f t="array" ref="H111">_xlfn.XLOOKUP($B111,CodeMinutesTable[[Code]:[Code]],CodeMinutesTable[[Minutes]:[Minutes]]) *_xlfn.XLOOKUP(H$1,'Provider Rates'!$A$2:$A$15,'Provider Rates'!$C$2:$C$15)</f>
        <v>325</v>
      </c>
      <c r="I111" s="6" cm="1">
        <f t="array" ref="I111">_xlfn.XLOOKUP($B111,CodeMinutesTable[[Code]:[Code]],CodeMinutesTable[[Minutes]:[Minutes]]) *_xlfn.XLOOKUP(I$1,'Provider Rates'!$A$2:$A$15,'Provider Rates'!$C$2:$C$15)</f>
        <v>300</v>
      </c>
      <c r="J111" s="6" cm="1">
        <f t="array" ref="J111">_xlfn.XLOOKUP($B111,CodeMinutesTable[[Code]:[Code]],CodeMinutesTable[[Minutes]:[Minutes]]) *_xlfn.XLOOKUP(J$1,'Provider Rates'!$A$2:$A$15,'Provider Rates'!$C$2:$C$15)</f>
        <v>275</v>
      </c>
      <c r="K111" s="6" cm="1">
        <f t="array" ref="K111">_xlfn.XLOOKUP($B111,CodeMinutesTable[[Code]:[Code]],CodeMinutesTable[[Minutes]:[Minutes]]) *_xlfn.XLOOKUP(K$1,'Provider Rates'!$A$2:$A$15,'Provider Rates'!$C$2:$C$15)</f>
        <v>250.00000000000003</v>
      </c>
      <c r="L111" s="6" cm="1">
        <f t="array" ref="L111">_xlfn.XLOOKUP($B111,CodeMinutesTable[[Code]:[Code]],CodeMinutesTable[[Minutes]:[Minutes]]) *_xlfn.XLOOKUP(L$1,'Provider Rates'!$A$2:$A$15,'Provider Rates'!$C$2:$C$15)</f>
        <v>225</v>
      </c>
      <c r="M111" s="6" cm="1">
        <f t="array" ref="M111">_xlfn.XLOOKUP($B111,CodeMinutesTable[[Code]:[Code]],CodeMinutesTable[[Minutes]:[Minutes]]) *_xlfn.XLOOKUP(M$1,'Provider Rates'!$A$2:$A$15,'Provider Rates'!$C$2:$C$15)</f>
        <v>200</v>
      </c>
      <c r="N111" s="6" cm="1">
        <f t="array" ref="N111">_xlfn.XLOOKUP($B111,CodeMinutesTable[[Code]:[Code]],CodeMinutesTable[[Minutes]:[Minutes]]) *_xlfn.XLOOKUP(N$1,'Provider Rates'!$A$2:$A$15,'Provider Rates'!$C$2:$C$15)</f>
        <v>175</v>
      </c>
      <c r="O111" s="6" cm="1">
        <f t="array" ref="O111">_xlfn.XLOOKUP($B111,CodeMinutesTable[[Code]:[Code]],CodeMinutesTable[[Minutes]:[Minutes]]) *_xlfn.XLOOKUP(O$1,'Provider Rates'!$A$2:$A$15,'Provider Rates'!$C$2:$C$15)</f>
        <v>150</v>
      </c>
      <c r="P111" s="6" cm="1">
        <f t="array" ref="P111">_xlfn.XLOOKUP($B111,CodeMinutesTable[[Code]:[Code]],CodeMinutesTable[[Minutes]:[Minutes]]) *_xlfn.XLOOKUP(P$1,'Provider Rates'!$A$2:$A$15,'Provider Rates'!$C$2:$C$15)</f>
        <v>100</v>
      </c>
      <c r="Q111" s="6">
        <f>VLOOKUP($B111, CodeMinutesTable[[Code]:[Minutes]], 3, FALSE) * VLOOKUP(Q$1, ProviderRatesTable[], 3, FALSE)</f>
        <v>75</v>
      </c>
    </row>
    <row r="112" spans="1:17" hidden="1" x14ac:dyDescent="0.25">
      <c r="A112" s="3" t="str">
        <f>INDEX(CodeMinutesTable[Frequently Used],MATCH(CodeRatesTable[[#This Row],[Billing Code]],CodeMinutesTable[Code],0))</f>
        <v>No</v>
      </c>
      <c r="B112" s="3" t="s">
        <v>258</v>
      </c>
      <c r="C112" t="s">
        <v>259</v>
      </c>
      <c r="D112" s="6">
        <f>VLOOKUP($B112, CodeMinutesTable[[Code]:[Minutes]], 3, FALSE) * VLOOKUP(D$1, ProviderRatesTable[], 3, FALSE)</f>
        <v>793.33333333333326</v>
      </c>
      <c r="E112" s="6" cm="1">
        <f t="array" ref="E112">_xlfn.XLOOKUP($B112,CodeMinutesTable[[Code]:[Code]],CodeMinutesTable[[Minutes]:[Minutes]]) *_xlfn.XLOOKUP(E$1,'Provider Rates'!$A$2:$A$15,'Provider Rates'!$C$2:$C$15)</f>
        <v>746.66666666666674</v>
      </c>
      <c r="F112" s="6" cm="1">
        <f t="array" ref="F112">_xlfn.XLOOKUP($B112,CodeMinutesTable[[Code]:[Code]],CodeMinutesTable[[Minutes]:[Minutes]]) *_xlfn.XLOOKUP(F$1,'Provider Rates'!$A$2:$A$15,'Provider Rates'!$C$2:$C$15)</f>
        <v>700</v>
      </c>
      <c r="G112" s="6" cm="1">
        <f t="array" ref="G112">_xlfn.XLOOKUP($B112,CodeMinutesTable[[Code]:[Code]],CodeMinutesTable[[Minutes]:[Minutes]]) *_xlfn.XLOOKUP(G$1,'Provider Rates'!$A$2:$A$15,'Provider Rates'!$C$2:$C$15)</f>
        <v>653.33333333333326</v>
      </c>
      <c r="H112" s="6" cm="1">
        <f t="array" ref="H112">_xlfn.XLOOKUP($B112,CodeMinutesTable[[Code]:[Code]],CodeMinutesTable[[Minutes]:[Minutes]]) *_xlfn.XLOOKUP(H$1,'Provider Rates'!$A$2:$A$15,'Provider Rates'!$C$2:$C$15)</f>
        <v>606.66666666666674</v>
      </c>
      <c r="I112" s="6" cm="1">
        <f t="array" ref="I112">_xlfn.XLOOKUP($B112,CodeMinutesTable[[Code]:[Code]],CodeMinutesTable[[Minutes]:[Minutes]]) *_xlfn.XLOOKUP(I$1,'Provider Rates'!$A$2:$A$15,'Provider Rates'!$C$2:$C$15)</f>
        <v>560</v>
      </c>
      <c r="J112" s="6" cm="1">
        <f t="array" ref="J112">_xlfn.XLOOKUP($B112,CodeMinutesTable[[Code]:[Code]],CodeMinutesTable[[Minutes]:[Minutes]]) *_xlfn.XLOOKUP(J$1,'Provider Rates'!$A$2:$A$15,'Provider Rates'!$C$2:$C$15)</f>
        <v>513.33333333333326</v>
      </c>
      <c r="K112" s="6" cm="1">
        <f t="array" ref="K112">_xlfn.XLOOKUP($B112,CodeMinutesTable[[Code]:[Code]],CodeMinutesTable[[Minutes]:[Minutes]]) *_xlfn.XLOOKUP(K$1,'Provider Rates'!$A$2:$A$15,'Provider Rates'!$C$2:$C$15)</f>
        <v>466.66666666666669</v>
      </c>
      <c r="L112" s="6" cm="1">
        <f t="array" ref="L112">_xlfn.XLOOKUP($B112,CodeMinutesTable[[Code]:[Code]],CodeMinutesTable[[Minutes]:[Minutes]]) *_xlfn.XLOOKUP(L$1,'Provider Rates'!$A$2:$A$15,'Provider Rates'!$C$2:$C$15)</f>
        <v>420</v>
      </c>
      <c r="M112" s="6" cm="1">
        <f t="array" ref="M112">_xlfn.XLOOKUP($B112,CodeMinutesTable[[Code]:[Code]],CodeMinutesTable[[Minutes]:[Minutes]]) *_xlfn.XLOOKUP(M$1,'Provider Rates'!$A$2:$A$15,'Provider Rates'!$C$2:$C$15)</f>
        <v>373.33333333333337</v>
      </c>
      <c r="N112" s="6" cm="1">
        <f t="array" ref="N112">_xlfn.XLOOKUP($B112,CodeMinutesTable[[Code]:[Code]],CodeMinutesTable[[Minutes]:[Minutes]]) *_xlfn.XLOOKUP(N$1,'Provider Rates'!$A$2:$A$15,'Provider Rates'!$C$2:$C$15)</f>
        <v>326.66666666666663</v>
      </c>
      <c r="O112" s="6" cm="1">
        <f t="array" ref="O112">_xlfn.XLOOKUP($B112,CodeMinutesTable[[Code]:[Code]],CodeMinutesTable[[Minutes]:[Minutes]]) *_xlfn.XLOOKUP(O$1,'Provider Rates'!$A$2:$A$15,'Provider Rates'!$C$2:$C$15)</f>
        <v>280</v>
      </c>
      <c r="P112" s="6" cm="1">
        <f t="array" ref="P112">_xlfn.XLOOKUP($B112,CodeMinutesTable[[Code]:[Code]],CodeMinutesTable[[Minutes]:[Minutes]]) *_xlfn.XLOOKUP(P$1,'Provider Rates'!$A$2:$A$15,'Provider Rates'!$C$2:$C$15)</f>
        <v>186.66666666666669</v>
      </c>
      <c r="Q112" s="6">
        <f>VLOOKUP($B112, CodeMinutesTable[[Code]:[Minutes]], 3, FALSE) * VLOOKUP(Q$1, ProviderRatesTable[], 3, FALSE)</f>
        <v>140</v>
      </c>
    </row>
    <row r="113" spans="1:17" hidden="1" x14ac:dyDescent="0.25">
      <c r="A113" s="3" t="str">
        <f>INDEX(CodeMinutesTable[Frequently Used],MATCH(CodeRatesTable[[#This Row],[Billing Code]],CodeMinutesTable[Code],0))</f>
        <v>No</v>
      </c>
      <c r="B113" s="3" t="s">
        <v>260</v>
      </c>
      <c r="C113" t="s">
        <v>261</v>
      </c>
      <c r="D113" s="6">
        <f>VLOOKUP($B113, CodeMinutesTable[[Code]:[Minutes]], 3, FALSE) * VLOOKUP(D$1, ProviderRatesTable[], 3, FALSE)</f>
        <v>1218.3333333333333</v>
      </c>
      <c r="E113" s="6" cm="1">
        <f t="array" ref="E113">_xlfn.XLOOKUP($B113,CodeMinutesTable[[Code]:[Code]],CodeMinutesTable[[Minutes]:[Minutes]]) *_xlfn.XLOOKUP(E$1,'Provider Rates'!$A$2:$A$15,'Provider Rates'!$C$2:$C$15)</f>
        <v>1146.6666666666667</v>
      </c>
      <c r="F113" s="6" cm="1">
        <f t="array" ref="F113">_xlfn.XLOOKUP($B113,CodeMinutesTable[[Code]:[Code]],CodeMinutesTable[[Minutes]:[Minutes]]) *_xlfn.XLOOKUP(F$1,'Provider Rates'!$A$2:$A$15,'Provider Rates'!$C$2:$C$15)</f>
        <v>1075</v>
      </c>
      <c r="G113" s="6" cm="1">
        <f t="array" ref="G113">_xlfn.XLOOKUP($B113,CodeMinutesTable[[Code]:[Code]],CodeMinutesTable[[Minutes]:[Minutes]]) *_xlfn.XLOOKUP(G$1,'Provider Rates'!$A$2:$A$15,'Provider Rates'!$C$2:$C$15)</f>
        <v>1003.3333333333333</v>
      </c>
      <c r="H113" s="6" cm="1">
        <f t="array" ref="H113">_xlfn.XLOOKUP($B113,CodeMinutesTable[[Code]:[Code]],CodeMinutesTable[[Minutes]:[Minutes]]) *_xlfn.XLOOKUP(H$1,'Provider Rates'!$A$2:$A$15,'Provider Rates'!$C$2:$C$15)</f>
        <v>931.66666666666674</v>
      </c>
      <c r="I113" s="6" cm="1">
        <f t="array" ref="I113">_xlfn.XLOOKUP($B113,CodeMinutesTable[[Code]:[Code]],CodeMinutesTable[[Minutes]:[Minutes]]) *_xlfn.XLOOKUP(I$1,'Provider Rates'!$A$2:$A$15,'Provider Rates'!$C$2:$C$15)</f>
        <v>860</v>
      </c>
      <c r="J113" s="6" cm="1">
        <f t="array" ref="J113">_xlfn.XLOOKUP($B113,CodeMinutesTable[[Code]:[Code]],CodeMinutesTable[[Minutes]:[Minutes]]) *_xlfn.XLOOKUP(J$1,'Provider Rates'!$A$2:$A$15,'Provider Rates'!$C$2:$C$15)</f>
        <v>788.33333333333326</v>
      </c>
      <c r="K113" s="6" cm="1">
        <f t="array" ref="K113">_xlfn.XLOOKUP($B113,CodeMinutesTable[[Code]:[Code]],CodeMinutesTable[[Minutes]:[Minutes]]) *_xlfn.XLOOKUP(K$1,'Provider Rates'!$A$2:$A$15,'Provider Rates'!$C$2:$C$15)</f>
        <v>716.66666666666674</v>
      </c>
      <c r="L113" s="6" cm="1">
        <f t="array" ref="L113">_xlfn.XLOOKUP($B113,CodeMinutesTable[[Code]:[Code]],CodeMinutesTable[[Minutes]:[Minutes]]) *_xlfn.XLOOKUP(L$1,'Provider Rates'!$A$2:$A$15,'Provider Rates'!$C$2:$C$15)</f>
        <v>645</v>
      </c>
      <c r="M113" s="6" cm="1">
        <f t="array" ref="M113">_xlfn.XLOOKUP($B113,CodeMinutesTable[[Code]:[Code]],CodeMinutesTable[[Minutes]:[Minutes]]) *_xlfn.XLOOKUP(M$1,'Provider Rates'!$A$2:$A$15,'Provider Rates'!$C$2:$C$15)</f>
        <v>573.33333333333337</v>
      </c>
      <c r="N113" s="6" cm="1">
        <f t="array" ref="N113">_xlfn.XLOOKUP($B113,CodeMinutesTable[[Code]:[Code]],CodeMinutesTable[[Minutes]:[Minutes]]) *_xlfn.XLOOKUP(N$1,'Provider Rates'!$A$2:$A$15,'Provider Rates'!$C$2:$C$15)</f>
        <v>501.66666666666663</v>
      </c>
      <c r="O113" s="6" cm="1">
        <f t="array" ref="O113">_xlfn.XLOOKUP($B113,CodeMinutesTable[[Code]:[Code]],CodeMinutesTable[[Minutes]:[Minutes]]) *_xlfn.XLOOKUP(O$1,'Provider Rates'!$A$2:$A$15,'Provider Rates'!$C$2:$C$15)</f>
        <v>430</v>
      </c>
      <c r="P113" s="6" cm="1">
        <f t="array" ref="P113">_xlfn.XLOOKUP($B113,CodeMinutesTable[[Code]:[Code]],CodeMinutesTable[[Minutes]:[Minutes]]) *_xlfn.XLOOKUP(P$1,'Provider Rates'!$A$2:$A$15,'Provider Rates'!$C$2:$C$15)</f>
        <v>286.66666666666669</v>
      </c>
      <c r="Q113" s="6">
        <f>VLOOKUP($B113, CodeMinutesTable[[Code]:[Minutes]], 3, FALSE) * VLOOKUP(Q$1, ProviderRatesTable[], 3, FALSE)</f>
        <v>215</v>
      </c>
    </row>
    <row r="114" spans="1:17" hidden="1" x14ac:dyDescent="0.25">
      <c r="A114" s="3" t="str">
        <f>INDEX(CodeMinutesTable[Frequently Used],MATCH(CodeRatesTable[[#This Row],[Billing Code]],CodeMinutesTable[Code],0))</f>
        <v>No</v>
      </c>
      <c r="B114" s="3" t="s">
        <v>262</v>
      </c>
      <c r="C114" t="s">
        <v>263</v>
      </c>
      <c r="D114" s="6">
        <f>VLOOKUP($B114, CodeMinutesTable[[Code]:[Minutes]], 3, FALSE) * VLOOKUP(D$1, ProviderRatesTable[], 3, FALSE)</f>
        <v>1728.3333333333333</v>
      </c>
      <c r="E114" s="6" cm="1">
        <f t="array" ref="E114">_xlfn.XLOOKUP($B114,CodeMinutesTable[[Code]:[Code]],CodeMinutesTable[[Minutes]:[Minutes]]) *_xlfn.XLOOKUP(E$1,'Provider Rates'!$A$2:$A$15,'Provider Rates'!$C$2:$C$15)</f>
        <v>1626.6666666666667</v>
      </c>
      <c r="F114" s="6" cm="1">
        <f t="array" ref="F114">_xlfn.XLOOKUP($B114,CodeMinutesTable[[Code]:[Code]],CodeMinutesTable[[Minutes]:[Minutes]]) *_xlfn.XLOOKUP(F$1,'Provider Rates'!$A$2:$A$15,'Provider Rates'!$C$2:$C$15)</f>
        <v>1525</v>
      </c>
      <c r="G114" s="6" cm="1">
        <f t="array" ref="G114">_xlfn.XLOOKUP($B114,CodeMinutesTable[[Code]:[Code]],CodeMinutesTable[[Minutes]:[Minutes]]) *_xlfn.XLOOKUP(G$1,'Provider Rates'!$A$2:$A$15,'Provider Rates'!$C$2:$C$15)</f>
        <v>1423.3333333333333</v>
      </c>
      <c r="H114" s="6" cm="1">
        <f t="array" ref="H114">_xlfn.XLOOKUP($B114,CodeMinutesTable[[Code]:[Code]],CodeMinutesTable[[Minutes]:[Minutes]]) *_xlfn.XLOOKUP(H$1,'Provider Rates'!$A$2:$A$15,'Provider Rates'!$C$2:$C$15)</f>
        <v>1321.6666666666667</v>
      </c>
      <c r="I114" s="6" cm="1">
        <f t="array" ref="I114">_xlfn.XLOOKUP($B114,CodeMinutesTable[[Code]:[Code]],CodeMinutesTable[[Minutes]:[Minutes]]) *_xlfn.XLOOKUP(I$1,'Provider Rates'!$A$2:$A$15,'Provider Rates'!$C$2:$C$15)</f>
        <v>1220</v>
      </c>
      <c r="J114" s="6" cm="1">
        <f t="array" ref="J114">_xlfn.XLOOKUP($B114,CodeMinutesTable[[Code]:[Code]],CodeMinutesTable[[Minutes]:[Minutes]]) *_xlfn.XLOOKUP(J$1,'Provider Rates'!$A$2:$A$15,'Provider Rates'!$C$2:$C$15)</f>
        <v>1118.3333333333333</v>
      </c>
      <c r="K114" s="6" cm="1">
        <f t="array" ref="K114">_xlfn.XLOOKUP($B114,CodeMinutesTable[[Code]:[Code]],CodeMinutesTable[[Minutes]:[Minutes]]) *_xlfn.XLOOKUP(K$1,'Provider Rates'!$A$2:$A$15,'Provider Rates'!$C$2:$C$15)</f>
        <v>1016.6666666666667</v>
      </c>
      <c r="L114" s="6" cm="1">
        <f t="array" ref="L114">_xlfn.XLOOKUP($B114,CodeMinutesTable[[Code]:[Code]],CodeMinutesTable[[Minutes]:[Minutes]]) *_xlfn.XLOOKUP(L$1,'Provider Rates'!$A$2:$A$15,'Provider Rates'!$C$2:$C$15)</f>
        <v>915</v>
      </c>
      <c r="M114" s="6" cm="1">
        <f t="array" ref="M114">_xlfn.XLOOKUP($B114,CodeMinutesTable[[Code]:[Code]],CodeMinutesTable[[Minutes]:[Minutes]]) *_xlfn.XLOOKUP(M$1,'Provider Rates'!$A$2:$A$15,'Provider Rates'!$C$2:$C$15)</f>
        <v>813.33333333333337</v>
      </c>
      <c r="N114" s="6" cm="1">
        <f t="array" ref="N114">_xlfn.XLOOKUP($B114,CodeMinutesTable[[Code]:[Code]],CodeMinutesTable[[Minutes]:[Minutes]]) *_xlfn.XLOOKUP(N$1,'Provider Rates'!$A$2:$A$15,'Provider Rates'!$C$2:$C$15)</f>
        <v>711.66666666666663</v>
      </c>
      <c r="O114" s="6" cm="1">
        <f t="array" ref="O114">_xlfn.XLOOKUP($B114,CodeMinutesTable[[Code]:[Code]],CodeMinutesTable[[Minutes]:[Minutes]]) *_xlfn.XLOOKUP(O$1,'Provider Rates'!$A$2:$A$15,'Provider Rates'!$C$2:$C$15)</f>
        <v>610</v>
      </c>
      <c r="P114" s="6" cm="1">
        <f t="array" ref="P114">_xlfn.XLOOKUP($B114,CodeMinutesTable[[Code]:[Code]],CodeMinutesTable[[Minutes]:[Minutes]]) *_xlfn.XLOOKUP(P$1,'Provider Rates'!$A$2:$A$15,'Provider Rates'!$C$2:$C$15)</f>
        <v>406.66666666666669</v>
      </c>
      <c r="Q114" s="6">
        <f>VLOOKUP($B114, CodeMinutesTable[[Code]:[Minutes]], 3, FALSE) * VLOOKUP(Q$1, ProviderRatesTable[], 3, FALSE)</f>
        <v>305</v>
      </c>
    </row>
    <row r="115" spans="1:17" hidden="1" x14ac:dyDescent="0.25">
      <c r="A115" s="3" t="str">
        <f>INDEX(CodeMinutesTable[Frequently Used],MATCH(CodeRatesTable[[#This Row],[Billing Code]],CodeMinutesTable[Code],0))</f>
        <v>No</v>
      </c>
      <c r="B115" s="3" t="s">
        <v>264</v>
      </c>
      <c r="C115" t="s">
        <v>265</v>
      </c>
      <c r="D115" s="6">
        <f>VLOOKUP($B115, CodeMinutesTable[[Code]:[Minutes]], 3, FALSE) * VLOOKUP(D$1, ProviderRatesTable[], 3, FALSE)</f>
        <v>1700</v>
      </c>
      <c r="E115" s="6" cm="1">
        <f t="array" ref="E115">_xlfn.XLOOKUP($B115,CodeMinutesTable[[Code]:[Code]],CodeMinutesTable[[Minutes]:[Minutes]]) *_xlfn.XLOOKUP(E$1,'Provider Rates'!$A$2:$A$15,'Provider Rates'!$C$2:$C$15)</f>
        <v>1600</v>
      </c>
      <c r="F115" s="6" cm="1">
        <f t="array" ref="F115">_xlfn.XLOOKUP($B115,CodeMinutesTable[[Code]:[Code]],CodeMinutesTable[[Minutes]:[Minutes]]) *_xlfn.XLOOKUP(F$1,'Provider Rates'!$A$2:$A$15,'Provider Rates'!$C$2:$C$15)</f>
        <v>1500</v>
      </c>
      <c r="G115" s="6" cm="1">
        <f t="array" ref="G115">_xlfn.XLOOKUP($B115,CodeMinutesTable[[Code]:[Code]],CodeMinutesTable[[Minutes]:[Minutes]]) *_xlfn.XLOOKUP(G$1,'Provider Rates'!$A$2:$A$15,'Provider Rates'!$C$2:$C$15)</f>
        <v>1400</v>
      </c>
      <c r="H115" s="6" cm="1">
        <f t="array" ref="H115">_xlfn.XLOOKUP($B115,CodeMinutesTable[[Code]:[Code]],CodeMinutesTable[[Minutes]:[Minutes]]) *_xlfn.XLOOKUP(H$1,'Provider Rates'!$A$2:$A$15,'Provider Rates'!$C$2:$C$15)</f>
        <v>1300</v>
      </c>
      <c r="I115" s="6" cm="1">
        <f t="array" ref="I115">_xlfn.XLOOKUP($B115,CodeMinutesTable[[Code]:[Code]],CodeMinutesTable[[Minutes]:[Minutes]]) *_xlfn.XLOOKUP(I$1,'Provider Rates'!$A$2:$A$15,'Provider Rates'!$C$2:$C$15)</f>
        <v>1200</v>
      </c>
      <c r="J115" s="6" cm="1">
        <f t="array" ref="J115">_xlfn.XLOOKUP($B115,CodeMinutesTable[[Code]:[Code]],CodeMinutesTable[[Minutes]:[Minutes]]) *_xlfn.XLOOKUP(J$1,'Provider Rates'!$A$2:$A$15,'Provider Rates'!$C$2:$C$15)</f>
        <v>1100</v>
      </c>
      <c r="K115" s="6" cm="1">
        <f t="array" ref="K115">_xlfn.XLOOKUP($B115,CodeMinutesTable[[Code]:[Code]],CodeMinutesTable[[Minutes]:[Minutes]]) *_xlfn.XLOOKUP(K$1,'Provider Rates'!$A$2:$A$15,'Provider Rates'!$C$2:$C$15)</f>
        <v>1000.0000000000001</v>
      </c>
      <c r="L115" s="6" cm="1">
        <f t="array" ref="L115">_xlfn.XLOOKUP($B115,CodeMinutesTable[[Code]:[Code]],CodeMinutesTable[[Minutes]:[Minutes]]) *_xlfn.XLOOKUP(L$1,'Provider Rates'!$A$2:$A$15,'Provider Rates'!$C$2:$C$15)</f>
        <v>900</v>
      </c>
      <c r="M115" s="6" cm="1">
        <f t="array" ref="M115">_xlfn.XLOOKUP($B115,CodeMinutesTable[[Code]:[Code]],CodeMinutesTable[[Minutes]:[Minutes]]) *_xlfn.XLOOKUP(M$1,'Provider Rates'!$A$2:$A$15,'Provider Rates'!$C$2:$C$15)</f>
        <v>800</v>
      </c>
      <c r="N115" s="6" cm="1">
        <f t="array" ref="N115">_xlfn.XLOOKUP($B115,CodeMinutesTable[[Code]:[Code]],CodeMinutesTable[[Minutes]:[Minutes]]) *_xlfn.XLOOKUP(N$1,'Provider Rates'!$A$2:$A$15,'Provider Rates'!$C$2:$C$15)</f>
        <v>700</v>
      </c>
      <c r="O115" s="6" cm="1">
        <f t="array" ref="O115">_xlfn.XLOOKUP($B115,CodeMinutesTable[[Code]:[Code]],CodeMinutesTable[[Minutes]:[Minutes]]) *_xlfn.XLOOKUP(O$1,'Provider Rates'!$A$2:$A$15,'Provider Rates'!$C$2:$C$15)</f>
        <v>600</v>
      </c>
      <c r="P115" s="6" cm="1">
        <f t="array" ref="P115">_xlfn.XLOOKUP($B115,CodeMinutesTable[[Code]:[Code]],CodeMinutesTable[[Minutes]:[Minutes]]) *_xlfn.XLOOKUP(P$1,'Provider Rates'!$A$2:$A$15,'Provider Rates'!$C$2:$C$15)</f>
        <v>400</v>
      </c>
      <c r="Q115" s="6">
        <f>VLOOKUP($B115, CodeMinutesTable[[Code]:[Minutes]], 3, FALSE) * VLOOKUP(Q$1, ProviderRatesTable[], 3, FALSE)</f>
        <v>300</v>
      </c>
    </row>
    <row r="116" spans="1:17" hidden="1" x14ac:dyDescent="0.25">
      <c r="A116" s="3" t="str">
        <f>INDEX(CodeMinutesTable[Frequently Used],MATCH(CodeRatesTable[[#This Row],[Billing Code]],CodeMinutesTable[Code],0))</f>
        <v>No</v>
      </c>
      <c r="B116" s="3" t="s">
        <v>266</v>
      </c>
      <c r="C116" t="s">
        <v>267</v>
      </c>
      <c r="D116" s="6">
        <f>VLOOKUP($B116, CodeMinutesTable[[Code]:[Minutes]], 3, FALSE) * VLOOKUP(D$1, ProviderRatesTable[], 3, FALSE)</f>
        <v>1700</v>
      </c>
      <c r="E116" s="6" cm="1">
        <f t="array" ref="E116">_xlfn.XLOOKUP($B116,CodeMinutesTable[[Code]:[Code]],CodeMinutesTable[[Minutes]:[Minutes]]) *_xlfn.XLOOKUP(E$1,'Provider Rates'!$A$2:$A$15,'Provider Rates'!$C$2:$C$15)</f>
        <v>1600</v>
      </c>
      <c r="F116" s="6" cm="1">
        <f t="array" ref="F116">_xlfn.XLOOKUP($B116,CodeMinutesTable[[Code]:[Code]],CodeMinutesTable[[Minutes]:[Minutes]]) *_xlfn.XLOOKUP(F$1,'Provider Rates'!$A$2:$A$15,'Provider Rates'!$C$2:$C$15)</f>
        <v>1500</v>
      </c>
      <c r="G116" s="6" cm="1">
        <f t="array" ref="G116">_xlfn.XLOOKUP($B116,CodeMinutesTable[[Code]:[Code]],CodeMinutesTable[[Minutes]:[Minutes]]) *_xlfn.XLOOKUP(G$1,'Provider Rates'!$A$2:$A$15,'Provider Rates'!$C$2:$C$15)</f>
        <v>1400</v>
      </c>
      <c r="H116" s="6" cm="1">
        <f t="array" ref="H116">_xlfn.XLOOKUP($B116,CodeMinutesTable[[Code]:[Code]],CodeMinutesTable[[Minutes]:[Minutes]]) *_xlfn.XLOOKUP(H$1,'Provider Rates'!$A$2:$A$15,'Provider Rates'!$C$2:$C$15)</f>
        <v>1300</v>
      </c>
      <c r="I116" s="6" cm="1">
        <f t="array" ref="I116">_xlfn.XLOOKUP($B116,CodeMinutesTable[[Code]:[Code]],CodeMinutesTable[[Minutes]:[Minutes]]) *_xlfn.XLOOKUP(I$1,'Provider Rates'!$A$2:$A$15,'Provider Rates'!$C$2:$C$15)</f>
        <v>1200</v>
      </c>
      <c r="J116" s="6" cm="1">
        <f t="array" ref="J116">_xlfn.XLOOKUP($B116,CodeMinutesTable[[Code]:[Code]],CodeMinutesTable[[Minutes]:[Minutes]]) *_xlfn.XLOOKUP(J$1,'Provider Rates'!$A$2:$A$15,'Provider Rates'!$C$2:$C$15)</f>
        <v>1100</v>
      </c>
      <c r="K116" s="6" cm="1">
        <f t="array" ref="K116">_xlfn.XLOOKUP($B116,CodeMinutesTable[[Code]:[Code]],CodeMinutesTable[[Minutes]:[Minutes]]) *_xlfn.XLOOKUP(K$1,'Provider Rates'!$A$2:$A$15,'Provider Rates'!$C$2:$C$15)</f>
        <v>1000.0000000000001</v>
      </c>
      <c r="L116" s="6" cm="1">
        <f t="array" ref="L116">_xlfn.XLOOKUP($B116,CodeMinutesTable[[Code]:[Code]],CodeMinutesTable[[Minutes]:[Minutes]]) *_xlfn.XLOOKUP(L$1,'Provider Rates'!$A$2:$A$15,'Provider Rates'!$C$2:$C$15)</f>
        <v>900</v>
      </c>
      <c r="M116" s="6" cm="1">
        <f t="array" ref="M116">_xlfn.XLOOKUP($B116,CodeMinutesTable[[Code]:[Code]],CodeMinutesTable[[Minutes]:[Minutes]]) *_xlfn.XLOOKUP(M$1,'Provider Rates'!$A$2:$A$15,'Provider Rates'!$C$2:$C$15)</f>
        <v>800</v>
      </c>
      <c r="N116" s="6" cm="1">
        <f t="array" ref="N116">_xlfn.XLOOKUP($B116,CodeMinutesTable[[Code]:[Code]],CodeMinutesTable[[Minutes]:[Minutes]]) *_xlfn.XLOOKUP(N$1,'Provider Rates'!$A$2:$A$15,'Provider Rates'!$C$2:$C$15)</f>
        <v>700</v>
      </c>
      <c r="O116" s="6" cm="1">
        <f t="array" ref="O116">_xlfn.XLOOKUP($B116,CodeMinutesTable[[Code]:[Code]],CodeMinutesTable[[Minutes]:[Minutes]]) *_xlfn.XLOOKUP(O$1,'Provider Rates'!$A$2:$A$15,'Provider Rates'!$C$2:$C$15)</f>
        <v>600</v>
      </c>
      <c r="P116" s="6" cm="1">
        <f t="array" ref="P116">_xlfn.XLOOKUP($B116,CodeMinutesTable[[Code]:[Code]],CodeMinutesTable[[Minutes]:[Minutes]]) *_xlfn.XLOOKUP(P$1,'Provider Rates'!$A$2:$A$15,'Provider Rates'!$C$2:$C$15)</f>
        <v>400</v>
      </c>
      <c r="Q116" s="6">
        <f>VLOOKUP($B116, CodeMinutesTable[[Code]:[Minutes]], 3, FALSE) * VLOOKUP(Q$1, ProviderRatesTable[], 3, FALSE)</f>
        <v>300</v>
      </c>
    </row>
    <row r="117" spans="1:17" hidden="1" x14ac:dyDescent="0.25">
      <c r="A117" s="3" t="str">
        <f>INDEX(CodeMinutesTable[Frequently Used],MATCH(CodeRatesTable[[#This Row],[Billing Code]],CodeMinutesTable[Code],0))</f>
        <v>No</v>
      </c>
      <c r="B117" s="3" t="s">
        <v>268</v>
      </c>
      <c r="C117" t="s">
        <v>269</v>
      </c>
      <c r="D117" s="6">
        <f>VLOOKUP($B117, CodeMinutesTable[[Code]:[Minutes]], 3, FALSE) * VLOOKUP(D$1, ProviderRatesTable[], 3, FALSE)</f>
        <v>1700</v>
      </c>
      <c r="E117" s="6" cm="1">
        <f t="array" ref="E117">_xlfn.XLOOKUP($B117,CodeMinutesTable[[Code]:[Code]],CodeMinutesTable[[Minutes]:[Minutes]]) *_xlfn.XLOOKUP(E$1,'Provider Rates'!$A$2:$A$15,'Provider Rates'!$C$2:$C$15)</f>
        <v>1600</v>
      </c>
      <c r="F117" s="6" cm="1">
        <f t="array" ref="F117">_xlfn.XLOOKUP($B117,CodeMinutesTable[[Code]:[Code]],CodeMinutesTable[[Minutes]:[Minutes]]) *_xlfn.XLOOKUP(F$1,'Provider Rates'!$A$2:$A$15,'Provider Rates'!$C$2:$C$15)</f>
        <v>1500</v>
      </c>
      <c r="G117" s="6" cm="1">
        <f t="array" ref="G117">_xlfn.XLOOKUP($B117,CodeMinutesTable[[Code]:[Code]],CodeMinutesTable[[Minutes]:[Minutes]]) *_xlfn.XLOOKUP(G$1,'Provider Rates'!$A$2:$A$15,'Provider Rates'!$C$2:$C$15)</f>
        <v>1400</v>
      </c>
      <c r="H117" s="6" cm="1">
        <f t="array" ref="H117">_xlfn.XLOOKUP($B117,CodeMinutesTable[[Code]:[Code]],CodeMinutesTable[[Minutes]:[Minutes]]) *_xlfn.XLOOKUP(H$1,'Provider Rates'!$A$2:$A$15,'Provider Rates'!$C$2:$C$15)</f>
        <v>1300</v>
      </c>
      <c r="I117" s="6" cm="1">
        <f t="array" ref="I117">_xlfn.XLOOKUP($B117,CodeMinutesTable[[Code]:[Code]],CodeMinutesTable[[Minutes]:[Minutes]]) *_xlfn.XLOOKUP(I$1,'Provider Rates'!$A$2:$A$15,'Provider Rates'!$C$2:$C$15)</f>
        <v>1200</v>
      </c>
      <c r="J117" s="6" cm="1">
        <f t="array" ref="J117">_xlfn.XLOOKUP($B117,CodeMinutesTable[[Code]:[Code]],CodeMinutesTable[[Minutes]:[Minutes]]) *_xlfn.XLOOKUP(J$1,'Provider Rates'!$A$2:$A$15,'Provider Rates'!$C$2:$C$15)</f>
        <v>1100</v>
      </c>
      <c r="K117" s="6" cm="1">
        <f t="array" ref="K117">_xlfn.XLOOKUP($B117,CodeMinutesTable[[Code]:[Code]],CodeMinutesTable[[Minutes]:[Minutes]]) *_xlfn.XLOOKUP(K$1,'Provider Rates'!$A$2:$A$15,'Provider Rates'!$C$2:$C$15)</f>
        <v>1000.0000000000001</v>
      </c>
      <c r="L117" s="6" cm="1">
        <f t="array" ref="L117">_xlfn.XLOOKUP($B117,CodeMinutesTable[[Code]:[Code]],CodeMinutesTable[[Minutes]:[Minutes]]) *_xlfn.XLOOKUP(L$1,'Provider Rates'!$A$2:$A$15,'Provider Rates'!$C$2:$C$15)</f>
        <v>900</v>
      </c>
      <c r="M117" s="6" cm="1">
        <f t="array" ref="M117">_xlfn.XLOOKUP($B117,CodeMinutesTable[[Code]:[Code]],CodeMinutesTable[[Minutes]:[Minutes]]) *_xlfn.XLOOKUP(M$1,'Provider Rates'!$A$2:$A$15,'Provider Rates'!$C$2:$C$15)</f>
        <v>800</v>
      </c>
      <c r="N117" s="6" cm="1">
        <f t="array" ref="N117">_xlfn.XLOOKUP($B117,CodeMinutesTable[[Code]:[Code]],CodeMinutesTable[[Minutes]:[Minutes]]) *_xlfn.XLOOKUP(N$1,'Provider Rates'!$A$2:$A$15,'Provider Rates'!$C$2:$C$15)</f>
        <v>700</v>
      </c>
      <c r="O117" s="6" cm="1">
        <f t="array" ref="O117">_xlfn.XLOOKUP($B117,CodeMinutesTable[[Code]:[Code]],CodeMinutesTable[[Minutes]:[Minutes]]) *_xlfn.XLOOKUP(O$1,'Provider Rates'!$A$2:$A$15,'Provider Rates'!$C$2:$C$15)</f>
        <v>600</v>
      </c>
      <c r="P117" s="6" cm="1">
        <f t="array" ref="P117">_xlfn.XLOOKUP($B117,CodeMinutesTable[[Code]:[Code]],CodeMinutesTable[[Minutes]:[Minutes]]) *_xlfn.XLOOKUP(P$1,'Provider Rates'!$A$2:$A$15,'Provider Rates'!$C$2:$C$15)</f>
        <v>400</v>
      </c>
      <c r="Q117" s="6">
        <f>VLOOKUP($B117, CodeMinutesTable[[Code]:[Minutes]], 3, FALSE) * VLOOKUP(Q$1, ProviderRatesTable[], 3, FALSE)</f>
        <v>300</v>
      </c>
    </row>
    <row r="118" spans="1:17" x14ac:dyDescent="0.25">
      <c r="A118" s="3" t="str">
        <f>INDEX(CodeMinutesTable[Frequently Used],MATCH(CodeRatesTable[[#This Row],[Billing Code]],CodeMinutesTable[Code],0))</f>
        <v>Yes</v>
      </c>
      <c r="B118" s="3" t="s">
        <v>270</v>
      </c>
      <c r="C118" t="s">
        <v>271</v>
      </c>
      <c r="D118" s="6">
        <f>VLOOKUP($B118, CodeMinutesTable[[Code]:[Minutes]], 3, FALSE) * VLOOKUP(D$1, ProviderRatesTable[], 3, FALSE)</f>
        <v>226.66666666666666</v>
      </c>
      <c r="E118" s="6">
        <f>VLOOKUP($B118, CodeMinutesTable[[Code]:[Minutes]], 3, FALSE) * VLOOKUP(E$1, ProviderRatesTable[], 3, FALSE)</f>
        <v>213.33333333333334</v>
      </c>
      <c r="F118" s="6">
        <f>VLOOKUP($B118, CodeMinutesTable[[Code]:[Minutes]], 3, FALSE) * VLOOKUP(F$1, ProviderRatesTable[], 3, FALSE)</f>
        <v>200</v>
      </c>
      <c r="G118" s="6">
        <f>VLOOKUP($B118, CodeMinutesTable[[Code]:[Minutes]], 3, FALSE) * VLOOKUP(G$1, ProviderRatesTable[], 3, FALSE)</f>
        <v>186.66666666666666</v>
      </c>
      <c r="H118" s="6">
        <f>VLOOKUP($B118, CodeMinutesTable[[Code]:[Minutes]], 3, FALSE) * VLOOKUP(H$1, ProviderRatesTable[], 3, FALSE)</f>
        <v>173.33333333333334</v>
      </c>
      <c r="I118" s="6">
        <f>VLOOKUP($B118, CodeMinutesTable[[Code]:[Minutes]], 3, FALSE) * VLOOKUP(I$1, ProviderRatesTable[], 3, FALSE)</f>
        <v>160</v>
      </c>
      <c r="J118" s="6">
        <f>VLOOKUP($B118, CodeMinutesTable[[Code]:[Minutes]], 3, FALSE) * VLOOKUP(J$1, ProviderRatesTable[], 3, FALSE)</f>
        <v>146.66666666666666</v>
      </c>
      <c r="K118" s="6">
        <f>VLOOKUP($B118, CodeMinutesTable[[Code]:[Minutes]], 3, FALSE) * VLOOKUP(K$1, ProviderRatesTable[], 3, FALSE)</f>
        <v>133.33333333333334</v>
      </c>
      <c r="L118" s="6">
        <f>VLOOKUP($B118, CodeMinutesTable[[Code]:[Minutes]], 3, FALSE) * VLOOKUP(L$1, ProviderRatesTable[], 3, FALSE)</f>
        <v>120</v>
      </c>
      <c r="M118" s="6">
        <f>VLOOKUP($B118, CodeMinutesTable[[Code]:[Minutes]], 3, FALSE) * VLOOKUP(M$1, ProviderRatesTable[], 3, FALSE)</f>
        <v>106.66666666666667</v>
      </c>
      <c r="N118" s="6">
        <f>VLOOKUP($B118, CodeMinutesTable[[Code]:[Minutes]], 3, FALSE) * VLOOKUP(N$1, ProviderRatesTable[], 3, FALSE)</f>
        <v>93.333333333333329</v>
      </c>
      <c r="O118" s="6">
        <f>VLOOKUP($B118, CodeMinutesTable[[Code]:[Minutes]], 3, FALSE) * VLOOKUP(O$1, ProviderRatesTable[], 3, FALSE)</f>
        <v>80</v>
      </c>
      <c r="P118" s="6">
        <f>VLOOKUP($B118, CodeMinutesTable[[Code]:[Minutes]], 3, FALSE) * VLOOKUP(P$1, ProviderRatesTable[], 3, FALSE)</f>
        <v>53.333333333333336</v>
      </c>
      <c r="Q118" s="6">
        <f>VLOOKUP($B118, CodeMinutesTable[[Code]:[Minutes]], 3, FALSE) * VLOOKUP(Q$1, ProviderRatesTable[], 3, FALSE)</f>
        <v>40</v>
      </c>
    </row>
    <row r="119" spans="1:17" x14ac:dyDescent="0.25">
      <c r="A119" s="3" t="str">
        <f>INDEX(CodeMinutesTable[Frequently Used],MATCH(CodeRatesTable[[#This Row],[Billing Code]],CodeMinutesTable[Code],0))</f>
        <v>Yes</v>
      </c>
      <c r="B119" s="3" t="s">
        <v>272</v>
      </c>
      <c r="C119" t="s">
        <v>273</v>
      </c>
      <c r="D119" s="6">
        <f>VLOOKUP($B119, CodeMinutesTable[[Code]:[Minutes]], 3, FALSE) * VLOOKUP(D$1, ProviderRatesTable[], 3, FALSE)</f>
        <v>453.33333333333331</v>
      </c>
      <c r="E119" s="6">
        <f>VLOOKUP($B119, CodeMinutesTable[[Code]:[Minutes]], 3, FALSE) * VLOOKUP(E$1, ProviderRatesTable[], 3, FALSE)</f>
        <v>426.66666666666669</v>
      </c>
      <c r="F119" s="6">
        <f>VLOOKUP($B119, CodeMinutesTable[[Code]:[Minutes]], 3, FALSE) * VLOOKUP(F$1, ProviderRatesTable[], 3, FALSE)</f>
        <v>400</v>
      </c>
      <c r="G119" s="6">
        <f>VLOOKUP($B119, CodeMinutesTable[[Code]:[Minutes]], 3, FALSE) * VLOOKUP(G$1, ProviderRatesTable[], 3, FALSE)</f>
        <v>373.33333333333331</v>
      </c>
      <c r="H119" s="6">
        <f>VLOOKUP($B119, CodeMinutesTable[[Code]:[Minutes]], 3, FALSE) * VLOOKUP(H$1, ProviderRatesTable[], 3, FALSE)</f>
        <v>346.66666666666669</v>
      </c>
      <c r="I119" s="6">
        <f>VLOOKUP($B119, CodeMinutesTable[[Code]:[Minutes]], 3, FALSE) * VLOOKUP(I$1, ProviderRatesTable[], 3, FALSE)</f>
        <v>320</v>
      </c>
      <c r="J119" s="6">
        <f>VLOOKUP($B119, CodeMinutesTable[[Code]:[Minutes]], 3, FALSE) * VLOOKUP(J$1, ProviderRatesTable[], 3, FALSE)</f>
        <v>293.33333333333331</v>
      </c>
      <c r="K119" s="6">
        <f>VLOOKUP($B119, CodeMinutesTable[[Code]:[Minutes]], 3, FALSE) * VLOOKUP(K$1, ProviderRatesTable[], 3, FALSE)</f>
        <v>266.66666666666669</v>
      </c>
      <c r="L119" s="6">
        <f>VLOOKUP($B119, CodeMinutesTable[[Code]:[Minutes]], 3, FALSE) * VLOOKUP(L$1, ProviderRatesTable[], 3, FALSE)</f>
        <v>240</v>
      </c>
      <c r="M119" s="6">
        <f>VLOOKUP($B119, CodeMinutesTable[[Code]:[Minutes]], 3, FALSE) * VLOOKUP(M$1, ProviderRatesTable[], 3, FALSE)</f>
        <v>213.33333333333334</v>
      </c>
      <c r="N119" s="6">
        <f>VLOOKUP($B119, CodeMinutesTable[[Code]:[Minutes]], 3, FALSE) * VLOOKUP(N$1, ProviderRatesTable[], 3, FALSE)</f>
        <v>186.66666666666666</v>
      </c>
      <c r="O119" s="6">
        <f>VLOOKUP($B119, CodeMinutesTable[[Code]:[Minutes]], 3, FALSE) * VLOOKUP(O$1, ProviderRatesTable[], 3, FALSE)</f>
        <v>160</v>
      </c>
      <c r="P119" s="6">
        <f>VLOOKUP($B119, CodeMinutesTable[[Code]:[Minutes]], 3, FALSE) * VLOOKUP(P$1, ProviderRatesTable[], 3, FALSE)</f>
        <v>106.66666666666667</v>
      </c>
      <c r="Q119" s="6">
        <f>VLOOKUP($B119, CodeMinutesTable[[Code]:[Minutes]], 3, FALSE) * VLOOKUP(Q$1, ProviderRatesTable[], 3, FALSE)</f>
        <v>80</v>
      </c>
    </row>
    <row r="120" spans="1:17" x14ac:dyDescent="0.25">
      <c r="A120" s="3" t="str">
        <f>INDEX(CodeMinutesTable[Frequently Used],MATCH(CodeRatesTable[[#This Row],[Billing Code]],CodeMinutesTable[Code],0))</f>
        <v>Yes</v>
      </c>
      <c r="B120" s="3" t="s">
        <v>274</v>
      </c>
      <c r="C120" t="s">
        <v>275</v>
      </c>
      <c r="D120" s="6">
        <f>VLOOKUP($B120, CodeMinutesTable[[Code]:[Minutes]], 3, FALSE) * VLOOKUP(D$1, ProviderRatesTable[], 3, FALSE)</f>
        <v>736.66666666666663</v>
      </c>
      <c r="E120" s="6">
        <f>VLOOKUP($B120, CodeMinutesTable[[Code]:[Minutes]], 3, FALSE) * VLOOKUP(E$1, ProviderRatesTable[], 3, FALSE)</f>
        <v>693.33333333333337</v>
      </c>
      <c r="F120" s="6">
        <f>VLOOKUP($B120, CodeMinutesTable[[Code]:[Minutes]], 3, FALSE) * VLOOKUP(F$1, ProviderRatesTable[], 3, FALSE)</f>
        <v>650</v>
      </c>
      <c r="G120" s="6">
        <f>VLOOKUP($B120, CodeMinutesTable[[Code]:[Minutes]], 3, FALSE) * VLOOKUP(G$1, ProviderRatesTable[], 3, FALSE)</f>
        <v>606.66666666666663</v>
      </c>
      <c r="H120" s="6">
        <f>VLOOKUP($B120, CodeMinutesTable[[Code]:[Minutes]], 3, FALSE) * VLOOKUP(H$1, ProviderRatesTable[], 3, FALSE)</f>
        <v>563.33333333333337</v>
      </c>
      <c r="I120" s="6">
        <f>VLOOKUP($B120, CodeMinutesTable[[Code]:[Minutes]], 3, FALSE) * VLOOKUP(I$1, ProviderRatesTable[], 3, FALSE)</f>
        <v>520</v>
      </c>
      <c r="J120" s="6">
        <f>VLOOKUP($B120, CodeMinutesTable[[Code]:[Minutes]], 3, FALSE) * VLOOKUP(J$1, ProviderRatesTable[], 3, FALSE)</f>
        <v>476.66666666666663</v>
      </c>
      <c r="K120" s="6">
        <f>VLOOKUP($B120, CodeMinutesTable[[Code]:[Minutes]], 3, FALSE) * VLOOKUP(K$1, ProviderRatesTable[], 3, FALSE)</f>
        <v>433.33333333333337</v>
      </c>
      <c r="L120" s="6">
        <f>VLOOKUP($B120, CodeMinutesTable[[Code]:[Minutes]], 3, FALSE) * VLOOKUP(L$1, ProviderRatesTable[], 3, FALSE)</f>
        <v>390</v>
      </c>
      <c r="M120" s="6">
        <f>VLOOKUP($B120, CodeMinutesTable[[Code]:[Minutes]], 3, FALSE) * VLOOKUP(M$1, ProviderRatesTable[], 3, FALSE)</f>
        <v>346.66666666666669</v>
      </c>
      <c r="N120" s="6">
        <f>VLOOKUP($B120, CodeMinutesTable[[Code]:[Minutes]], 3, FALSE) * VLOOKUP(N$1, ProviderRatesTable[], 3, FALSE)</f>
        <v>303.33333333333331</v>
      </c>
      <c r="O120" s="6">
        <f>VLOOKUP($B120, CodeMinutesTable[[Code]:[Minutes]], 3, FALSE) * VLOOKUP(O$1, ProviderRatesTable[], 3, FALSE)</f>
        <v>260</v>
      </c>
      <c r="P120" s="6">
        <f>VLOOKUP($B120, CodeMinutesTable[[Code]:[Minutes]], 3, FALSE) * VLOOKUP(P$1, ProviderRatesTable[], 3, FALSE)</f>
        <v>173.33333333333334</v>
      </c>
      <c r="Q120" s="6">
        <f>VLOOKUP($B120, CodeMinutesTable[[Code]:[Minutes]], 3, FALSE) * VLOOKUP(Q$1, ProviderRatesTable[], 3, FALSE)</f>
        <v>130</v>
      </c>
    </row>
    <row r="121" spans="1:17" hidden="1" x14ac:dyDescent="0.25">
      <c r="A121" s="3" t="str">
        <f>INDEX(CodeMinutesTable[Frequently Used],MATCH(CodeRatesTable[[#This Row],[Billing Code]],CodeMinutesTable[Code],0))</f>
        <v>No</v>
      </c>
      <c r="B121" s="3" t="s">
        <v>276</v>
      </c>
      <c r="C121" t="s">
        <v>277</v>
      </c>
      <c r="D121" s="6">
        <f>VLOOKUP($B121, CodeMinutesTable[[Code]:[Minutes]], 3, FALSE) * VLOOKUP(D$1, ProviderRatesTable[], 3, FALSE)</f>
        <v>283.33333333333331</v>
      </c>
      <c r="E121" s="6" cm="1">
        <f t="array" ref="E121">_xlfn.XLOOKUP($B121,CodeMinutesTable[[Code]:[Code]],CodeMinutesTable[[Minutes]:[Minutes]]) *_xlfn.XLOOKUP(E$1,'Provider Rates'!$A$2:$A$15,'Provider Rates'!$C$2:$C$15)</f>
        <v>266.66666666666669</v>
      </c>
      <c r="F121" s="6" cm="1">
        <f t="array" ref="F121">_xlfn.XLOOKUP($B121,CodeMinutesTable[[Code]:[Code]],CodeMinutesTable[[Minutes]:[Minutes]]) *_xlfn.XLOOKUP(F$1,'Provider Rates'!$A$2:$A$15,'Provider Rates'!$C$2:$C$15)</f>
        <v>250</v>
      </c>
      <c r="G121" s="6" cm="1">
        <f t="array" ref="G121">_xlfn.XLOOKUP($B121,CodeMinutesTable[[Code]:[Code]],CodeMinutesTable[[Minutes]:[Minutes]]) *_xlfn.XLOOKUP(G$1,'Provider Rates'!$A$2:$A$15,'Provider Rates'!$C$2:$C$15)</f>
        <v>233.33333333333331</v>
      </c>
      <c r="H121" s="6" cm="1">
        <f t="array" ref="H121">_xlfn.XLOOKUP($B121,CodeMinutesTable[[Code]:[Code]],CodeMinutesTable[[Minutes]:[Minutes]]) *_xlfn.XLOOKUP(H$1,'Provider Rates'!$A$2:$A$15,'Provider Rates'!$C$2:$C$15)</f>
        <v>216.66666666666669</v>
      </c>
      <c r="I121" s="6" cm="1">
        <f t="array" ref="I121">_xlfn.XLOOKUP($B121,CodeMinutesTable[[Code]:[Code]],CodeMinutesTable[[Minutes]:[Minutes]]) *_xlfn.XLOOKUP(I$1,'Provider Rates'!$A$2:$A$15,'Provider Rates'!$C$2:$C$15)</f>
        <v>200</v>
      </c>
      <c r="J121" s="6" cm="1">
        <f t="array" ref="J121">_xlfn.XLOOKUP($B121,CodeMinutesTable[[Code]:[Code]],CodeMinutesTable[[Minutes]:[Minutes]]) *_xlfn.XLOOKUP(J$1,'Provider Rates'!$A$2:$A$15,'Provider Rates'!$C$2:$C$15)</f>
        <v>183.33333333333331</v>
      </c>
      <c r="K121" s="6" cm="1">
        <f t="array" ref="K121">_xlfn.XLOOKUP($B121,CodeMinutesTable[[Code]:[Code]],CodeMinutesTable[[Minutes]:[Minutes]]) *_xlfn.XLOOKUP(K$1,'Provider Rates'!$A$2:$A$15,'Provider Rates'!$C$2:$C$15)</f>
        <v>166.66666666666669</v>
      </c>
      <c r="L121" s="6" cm="1">
        <f t="array" ref="L121">_xlfn.XLOOKUP($B121,CodeMinutesTable[[Code]:[Code]],CodeMinutesTable[[Minutes]:[Minutes]]) *_xlfn.XLOOKUP(L$1,'Provider Rates'!$A$2:$A$15,'Provider Rates'!$C$2:$C$15)</f>
        <v>150</v>
      </c>
      <c r="M121" s="6" cm="1">
        <f t="array" ref="M121">_xlfn.XLOOKUP($B121,CodeMinutesTable[[Code]:[Code]],CodeMinutesTable[[Minutes]:[Minutes]]) *_xlfn.XLOOKUP(M$1,'Provider Rates'!$A$2:$A$15,'Provider Rates'!$C$2:$C$15)</f>
        <v>133.33333333333334</v>
      </c>
      <c r="N121" s="6" cm="1">
        <f t="array" ref="N121">_xlfn.XLOOKUP($B121,CodeMinutesTable[[Code]:[Code]],CodeMinutesTable[[Minutes]:[Minutes]]) *_xlfn.XLOOKUP(N$1,'Provider Rates'!$A$2:$A$15,'Provider Rates'!$C$2:$C$15)</f>
        <v>116.66666666666666</v>
      </c>
      <c r="O121" s="6" cm="1">
        <f t="array" ref="O121">_xlfn.XLOOKUP($B121,CodeMinutesTable[[Code]:[Code]],CodeMinutesTable[[Minutes]:[Minutes]]) *_xlfn.XLOOKUP(O$1,'Provider Rates'!$A$2:$A$15,'Provider Rates'!$C$2:$C$15)</f>
        <v>100</v>
      </c>
      <c r="P121" s="6" cm="1">
        <f t="array" ref="P121">_xlfn.XLOOKUP($B121,CodeMinutesTable[[Code]:[Code]],CodeMinutesTable[[Minutes]:[Minutes]]) *_xlfn.XLOOKUP(P$1,'Provider Rates'!$A$2:$A$15,'Provider Rates'!$C$2:$C$15)</f>
        <v>66.666666666666671</v>
      </c>
      <c r="Q121" s="6">
        <f>VLOOKUP($B121, CodeMinutesTable[[Code]:[Minutes]], 3, FALSE) * VLOOKUP(Q$1, ProviderRatesTable[], 3, FALSE)</f>
        <v>50</v>
      </c>
    </row>
    <row r="122" spans="1:17" hidden="1" x14ac:dyDescent="0.25">
      <c r="A122" s="3" t="str">
        <f>INDEX(CodeMinutesTable[Frequently Used],MATCH(CodeRatesTable[[#This Row],[Billing Code]],CodeMinutesTable[Code],0))</f>
        <v>No</v>
      </c>
      <c r="B122" s="3" t="s">
        <v>278</v>
      </c>
      <c r="C122" t="s">
        <v>279</v>
      </c>
      <c r="D122" s="6">
        <f>VLOOKUP($B122, CodeMinutesTable[[Code]:[Minutes]], 3, FALSE) * VLOOKUP(D$1, ProviderRatesTable[], 3, FALSE)</f>
        <v>1700</v>
      </c>
      <c r="E122" s="6" cm="1">
        <f t="array" ref="E122">_xlfn.XLOOKUP($B122,CodeMinutesTable[[Code]:[Code]],CodeMinutesTable[[Minutes]:[Minutes]]) *_xlfn.XLOOKUP(E$1,'Provider Rates'!$A$2:$A$15,'Provider Rates'!$C$2:$C$15)</f>
        <v>1600</v>
      </c>
      <c r="F122" s="6" cm="1">
        <f t="array" ref="F122">_xlfn.XLOOKUP($B122,CodeMinutesTable[[Code]:[Code]],CodeMinutesTable[[Minutes]:[Minutes]]) *_xlfn.XLOOKUP(F$1,'Provider Rates'!$A$2:$A$15,'Provider Rates'!$C$2:$C$15)</f>
        <v>1500</v>
      </c>
      <c r="G122" s="6" cm="1">
        <f t="array" ref="G122">_xlfn.XLOOKUP($B122,CodeMinutesTable[[Code]:[Code]],CodeMinutesTable[[Minutes]:[Minutes]]) *_xlfn.XLOOKUP(G$1,'Provider Rates'!$A$2:$A$15,'Provider Rates'!$C$2:$C$15)</f>
        <v>1400</v>
      </c>
      <c r="H122" s="6" cm="1">
        <f t="array" ref="H122">_xlfn.XLOOKUP($B122,CodeMinutesTable[[Code]:[Code]],CodeMinutesTable[[Minutes]:[Minutes]]) *_xlfn.XLOOKUP(H$1,'Provider Rates'!$A$2:$A$15,'Provider Rates'!$C$2:$C$15)</f>
        <v>1300</v>
      </c>
      <c r="I122" s="6" cm="1">
        <f t="array" ref="I122">_xlfn.XLOOKUP($B122,CodeMinutesTable[[Code]:[Code]],CodeMinutesTable[[Minutes]:[Minutes]]) *_xlfn.XLOOKUP(I$1,'Provider Rates'!$A$2:$A$15,'Provider Rates'!$C$2:$C$15)</f>
        <v>1200</v>
      </c>
      <c r="J122" s="6" cm="1">
        <f t="array" ref="J122">_xlfn.XLOOKUP($B122,CodeMinutesTable[[Code]:[Code]],CodeMinutesTable[[Minutes]:[Minutes]]) *_xlfn.XLOOKUP(J$1,'Provider Rates'!$A$2:$A$15,'Provider Rates'!$C$2:$C$15)</f>
        <v>1100</v>
      </c>
      <c r="K122" s="6" cm="1">
        <f t="array" ref="K122">_xlfn.XLOOKUP($B122,CodeMinutesTable[[Code]:[Code]],CodeMinutesTable[[Minutes]:[Minutes]]) *_xlfn.XLOOKUP(K$1,'Provider Rates'!$A$2:$A$15,'Provider Rates'!$C$2:$C$15)</f>
        <v>1000.0000000000001</v>
      </c>
      <c r="L122" s="6" cm="1">
        <f t="array" ref="L122">_xlfn.XLOOKUP($B122,CodeMinutesTable[[Code]:[Code]],CodeMinutesTable[[Minutes]:[Minutes]]) *_xlfn.XLOOKUP(L$1,'Provider Rates'!$A$2:$A$15,'Provider Rates'!$C$2:$C$15)</f>
        <v>900</v>
      </c>
      <c r="M122" s="6" cm="1">
        <f t="array" ref="M122">_xlfn.XLOOKUP($B122,CodeMinutesTable[[Code]:[Code]],CodeMinutesTable[[Minutes]:[Minutes]]) *_xlfn.XLOOKUP(M$1,'Provider Rates'!$A$2:$A$15,'Provider Rates'!$C$2:$C$15)</f>
        <v>800</v>
      </c>
      <c r="N122" s="6" cm="1">
        <f t="array" ref="N122">_xlfn.XLOOKUP($B122,CodeMinutesTable[[Code]:[Code]],CodeMinutesTable[[Minutes]:[Minutes]]) *_xlfn.XLOOKUP(N$1,'Provider Rates'!$A$2:$A$15,'Provider Rates'!$C$2:$C$15)</f>
        <v>700</v>
      </c>
      <c r="O122" s="6" cm="1">
        <f t="array" ref="O122">_xlfn.XLOOKUP($B122,CodeMinutesTable[[Code]:[Code]],CodeMinutesTable[[Minutes]:[Minutes]]) *_xlfn.XLOOKUP(O$1,'Provider Rates'!$A$2:$A$15,'Provider Rates'!$C$2:$C$15)</f>
        <v>600</v>
      </c>
      <c r="P122" s="6" cm="1">
        <f t="array" ref="P122">_xlfn.XLOOKUP($B122,CodeMinutesTable[[Code]:[Code]],CodeMinutesTable[[Minutes]:[Minutes]]) *_xlfn.XLOOKUP(P$1,'Provider Rates'!$A$2:$A$15,'Provider Rates'!$C$2:$C$15)</f>
        <v>400</v>
      </c>
      <c r="Q122" s="6">
        <f>VLOOKUP($B122, CodeMinutesTable[[Code]:[Minutes]], 3, FALSE) * VLOOKUP(Q$1, ProviderRatesTable[], 3, FALSE)</f>
        <v>300</v>
      </c>
    </row>
    <row r="123" spans="1:17" hidden="1" x14ac:dyDescent="0.25">
      <c r="A123" s="3" t="str">
        <f>INDEX(CodeMinutesTable[Frequently Used],MATCH(CodeRatesTable[[#This Row],[Billing Code]],CodeMinutesTable[Code],0))</f>
        <v>No</v>
      </c>
      <c r="B123" s="3" t="s">
        <v>280</v>
      </c>
      <c r="C123" t="s">
        <v>281</v>
      </c>
      <c r="D123" s="6">
        <f>VLOOKUP($B123, CodeMinutesTable[[Code]:[Minutes]], 3, FALSE) * VLOOKUP(D$1, ProviderRatesTable[], 3, FALSE)</f>
        <v>425</v>
      </c>
      <c r="E123" s="6" cm="1">
        <f t="array" ref="E123">_xlfn.XLOOKUP($B123,CodeMinutesTable[[Code]:[Code]],CodeMinutesTable[[Minutes]:[Minutes]]) *_xlfn.XLOOKUP(E$1,'Provider Rates'!$A$2:$A$15,'Provider Rates'!$C$2:$C$15)</f>
        <v>400</v>
      </c>
      <c r="F123" s="6" cm="1">
        <f t="array" ref="F123">_xlfn.XLOOKUP($B123,CodeMinutesTable[[Code]:[Code]],CodeMinutesTable[[Minutes]:[Minutes]]) *_xlfn.XLOOKUP(F$1,'Provider Rates'!$A$2:$A$15,'Provider Rates'!$C$2:$C$15)</f>
        <v>375</v>
      </c>
      <c r="G123" s="6" cm="1">
        <f t="array" ref="G123">_xlfn.XLOOKUP($B123,CodeMinutesTable[[Code]:[Code]],CodeMinutesTable[[Minutes]:[Minutes]]) *_xlfn.XLOOKUP(G$1,'Provider Rates'!$A$2:$A$15,'Provider Rates'!$C$2:$C$15)</f>
        <v>350</v>
      </c>
      <c r="H123" s="6" cm="1">
        <f t="array" ref="H123">_xlfn.XLOOKUP($B123,CodeMinutesTable[[Code]:[Code]],CodeMinutesTable[[Minutes]:[Minutes]]) *_xlfn.XLOOKUP(H$1,'Provider Rates'!$A$2:$A$15,'Provider Rates'!$C$2:$C$15)</f>
        <v>325</v>
      </c>
      <c r="I123" s="6" cm="1">
        <f t="array" ref="I123">_xlfn.XLOOKUP($B123,CodeMinutesTable[[Code]:[Code]],CodeMinutesTable[[Minutes]:[Minutes]]) *_xlfn.XLOOKUP(I$1,'Provider Rates'!$A$2:$A$15,'Provider Rates'!$C$2:$C$15)</f>
        <v>300</v>
      </c>
      <c r="J123" s="6" cm="1">
        <f t="array" ref="J123">_xlfn.XLOOKUP($B123,CodeMinutesTable[[Code]:[Code]],CodeMinutesTable[[Minutes]:[Minutes]]) *_xlfn.XLOOKUP(J$1,'Provider Rates'!$A$2:$A$15,'Provider Rates'!$C$2:$C$15)</f>
        <v>275</v>
      </c>
      <c r="K123" s="6" cm="1">
        <f t="array" ref="K123">_xlfn.XLOOKUP($B123,CodeMinutesTable[[Code]:[Code]],CodeMinutesTable[[Minutes]:[Minutes]]) *_xlfn.XLOOKUP(K$1,'Provider Rates'!$A$2:$A$15,'Provider Rates'!$C$2:$C$15)</f>
        <v>250.00000000000003</v>
      </c>
      <c r="L123" s="6" cm="1">
        <f t="array" ref="L123">_xlfn.XLOOKUP($B123,CodeMinutesTable[[Code]:[Code]],CodeMinutesTable[[Minutes]:[Minutes]]) *_xlfn.XLOOKUP(L$1,'Provider Rates'!$A$2:$A$15,'Provider Rates'!$C$2:$C$15)</f>
        <v>225</v>
      </c>
      <c r="M123" s="6" cm="1">
        <f t="array" ref="M123">_xlfn.XLOOKUP($B123,CodeMinutesTable[[Code]:[Code]],CodeMinutesTable[[Minutes]:[Minutes]]) *_xlfn.XLOOKUP(M$1,'Provider Rates'!$A$2:$A$15,'Provider Rates'!$C$2:$C$15)</f>
        <v>200</v>
      </c>
      <c r="N123" s="6" cm="1">
        <f t="array" ref="N123">_xlfn.XLOOKUP($B123,CodeMinutesTable[[Code]:[Code]],CodeMinutesTable[[Minutes]:[Minutes]]) *_xlfn.XLOOKUP(N$1,'Provider Rates'!$A$2:$A$15,'Provider Rates'!$C$2:$C$15)</f>
        <v>175</v>
      </c>
      <c r="O123" s="6" cm="1">
        <f t="array" ref="O123">_xlfn.XLOOKUP($B123,CodeMinutesTable[[Code]:[Code]],CodeMinutesTable[[Minutes]:[Minutes]]) *_xlfn.XLOOKUP(O$1,'Provider Rates'!$A$2:$A$15,'Provider Rates'!$C$2:$C$15)</f>
        <v>150</v>
      </c>
      <c r="P123" s="6" cm="1">
        <f t="array" ref="P123">_xlfn.XLOOKUP($B123,CodeMinutesTable[[Code]:[Code]],CodeMinutesTable[[Minutes]:[Minutes]]) *_xlfn.XLOOKUP(P$1,'Provider Rates'!$A$2:$A$15,'Provider Rates'!$C$2:$C$15)</f>
        <v>100</v>
      </c>
      <c r="Q123" s="6">
        <f>VLOOKUP($B123, CodeMinutesTable[[Code]:[Minutes]], 3, FALSE) * VLOOKUP(Q$1, ProviderRatesTable[], 3, FALSE)</f>
        <v>75</v>
      </c>
    </row>
    <row r="124" spans="1:17" hidden="1" x14ac:dyDescent="0.25">
      <c r="A124" s="3" t="str">
        <f>INDEX(CodeMinutesTable[Frequently Used],MATCH(CodeRatesTable[[#This Row],[Billing Code]],CodeMinutesTable[Code],0))</f>
        <v>No</v>
      </c>
      <c r="B124" s="3" t="s">
        <v>282</v>
      </c>
      <c r="C124" t="s">
        <v>283</v>
      </c>
      <c r="D124" s="6">
        <f>VLOOKUP($B124, CodeMinutesTable[[Code]:[Minutes]], 3, FALSE) * VLOOKUP(D$1, ProviderRatesTable[], 3, FALSE)</f>
        <v>425</v>
      </c>
      <c r="E124" s="6" cm="1">
        <f t="array" ref="E124">_xlfn.XLOOKUP($B124,CodeMinutesTable[[Code]:[Code]],CodeMinutesTable[[Minutes]:[Minutes]]) *_xlfn.XLOOKUP(E$1,'Provider Rates'!$A$2:$A$15,'Provider Rates'!$C$2:$C$15)</f>
        <v>400</v>
      </c>
      <c r="F124" s="6" cm="1">
        <f t="array" ref="F124">_xlfn.XLOOKUP($B124,CodeMinutesTable[[Code]:[Code]],CodeMinutesTable[[Minutes]:[Minutes]]) *_xlfn.XLOOKUP(F$1,'Provider Rates'!$A$2:$A$15,'Provider Rates'!$C$2:$C$15)</f>
        <v>375</v>
      </c>
      <c r="G124" s="6" cm="1">
        <f t="array" ref="G124">_xlfn.XLOOKUP($B124,CodeMinutesTable[[Code]:[Code]],CodeMinutesTable[[Minutes]:[Minutes]]) *_xlfn.XLOOKUP(G$1,'Provider Rates'!$A$2:$A$15,'Provider Rates'!$C$2:$C$15)</f>
        <v>350</v>
      </c>
      <c r="H124" s="6" cm="1">
        <f t="array" ref="H124">_xlfn.XLOOKUP($B124,CodeMinutesTable[[Code]:[Code]],CodeMinutesTable[[Minutes]:[Minutes]]) *_xlfn.XLOOKUP(H$1,'Provider Rates'!$A$2:$A$15,'Provider Rates'!$C$2:$C$15)</f>
        <v>325</v>
      </c>
      <c r="I124" s="6" cm="1">
        <f t="array" ref="I124">_xlfn.XLOOKUP($B124,CodeMinutesTable[[Code]:[Code]],CodeMinutesTable[[Minutes]:[Minutes]]) *_xlfn.XLOOKUP(I$1,'Provider Rates'!$A$2:$A$15,'Provider Rates'!$C$2:$C$15)</f>
        <v>300</v>
      </c>
      <c r="J124" s="6" cm="1">
        <f t="array" ref="J124">_xlfn.XLOOKUP($B124,CodeMinutesTable[[Code]:[Code]],CodeMinutesTable[[Minutes]:[Minutes]]) *_xlfn.XLOOKUP(J$1,'Provider Rates'!$A$2:$A$15,'Provider Rates'!$C$2:$C$15)</f>
        <v>275</v>
      </c>
      <c r="K124" s="6" cm="1">
        <f t="array" ref="K124">_xlfn.XLOOKUP($B124,CodeMinutesTable[[Code]:[Code]],CodeMinutesTable[[Minutes]:[Minutes]]) *_xlfn.XLOOKUP(K$1,'Provider Rates'!$A$2:$A$15,'Provider Rates'!$C$2:$C$15)</f>
        <v>250.00000000000003</v>
      </c>
      <c r="L124" s="6" cm="1">
        <f t="array" ref="L124">_xlfn.XLOOKUP($B124,CodeMinutesTable[[Code]:[Code]],CodeMinutesTable[[Minutes]:[Minutes]]) *_xlfn.XLOOKUP(L$1,'Provider Rates'!$A$2:$A$15,'Provider Rates'!$C$2:$C$15)</f>
        <v>225</v>
      </c>
      <c r="M124" s="6" cm="1">
        <f t="array" ref="M124">_xlfn.XLOOKUP($B124,CodeMinutesTable[[Code]:[Code]],CodeMinutesTable[[Minutes]:[Minutes]]) *_xlfn.XLOOKUP(M$1,'Provider Rates'!$A$2:$A$15,'Provider Rates'!$C$2:$C$15)</f>
        <v>200</v>
      </c>
      <c r="N124" s="6" cm="1">
        <f t="array" ref="N124">_xlfn.XLOOKUP($B124,CodeMinutesTable[[Code]:[Code]],CodeMinutesTable[[Minutes]:[Minutes]]) *_xlfn.XLOOKUP(N$1,'Provider Rates'!$A$2:$A$15,'Provider Rates'!$C$2:$C$15)</f>
        <v>175</v>
      </c>
      <c r="O124" s="6" cm="1">
        <f t="array" ref="O124">_xlfn.XLOOKUP($B124,CodeMinutesTable[[Code]:[Code]],CodeMinutesTable[[Minutes]:[Minutes]]) *_xlfn.XLOOKUP(O$1,'Provider Rates'!$A$2:$A$15,'Provider Rates'!$C$2:$C$15)</f>
        <v>150</v>
      </c>
      <c r="P124" s="6" cm="1">
        <f t="array" ref="P124">_xlfn.XLOOKUP($B124,CodeMinutesTable[[Code]:[Code]],CodeMinutesTable[[Minutes]:[Minutes]]) *_xlfn.XLOOKUP(P$1,'Provider Rates'!$A$2:$A$15,'Provider Rates'!$C$2:$C$15)</f>
        <v>100</v>
      </c>
      <c r="Q124" s="6">
        <f>VLOOKUP($B124, CodeMinutesTable[[Code]:[Minutes]], 3, FALSE) * VLOOKUP(Q$1, ProviderRatesTable[], 3, FALSE)</f>
        <v>75</v>
      </c>
    </row>
    <row r="125" spans="1:17" hidden="1" x14ac:dyDescent="0.25">
      <c r="A125" s="3" t="str">
        <f>INDEX(CodeMinutesTable[Frequently Used],MATCH(CodeRatesTable[[#This Row],[Billing Code]],CodeMinutesTable[Code],0))</f>
        <v>No</v>
      </c>
      <c r="B125" s="3" t="s">
        <v>284</v>
      </c>
      <c r="C125" t="s">
        <v>285</v>
      </c>
      <c r="D125" s="6">
        <f>VLOOKUP($B125, CodeMinutesTable[[Code]:[Minutes]], 3, FALSE) * VLOOKUP(D$1, ProviderRatesTable[], 3, FALSE)</f>
        <v>425</v>
      </c>
      <c r="E125" s="6" cm="1">
        <f t="array" ref="E125">_xlfn.XLOOKUP($B125,CodeMinutesTable[[Code]:[Code]],CodeMinutesTable[[Minutes]:[Minutes]]) *_xlfn.XLOOKUP(E$1,'Provider Rates'!$A$2:$A$15,'Provider Rates'!$C$2:$C$15)</f>
        <v>400</v>
      </c>
      <c r="F125" s="6" cm="1">
        <f t="array" ref="F125">_xlfn.XLOOKUP($B125,CodeMinutesTable[[Code]:[Code]],CodeMinutesTable[[Minutes]:[Minutes]]) *_xlfn.XLOOKUP(F$1,'Provider Rates'!$A$2:$A$15,'Provider Rates'!$C$2:$C$15)</f>
        <v>375</v>
      </c>
      <c r="G125" s="6" cm="1">
        <f t="array" ref="G125">_xlfn.XLOOKUP($B125,CodeMinutesTable[[Code]:[Code]],CodeMinutesTable[[Minutes]:[Minutes]]) *_xlfn.XLOOKUP(G$1,'Provider Rates'!$A$2:$A$15,'Provider Rates'!$C$2:$C$15)</f>
        <v>350</v>
      </c>
      <c r="H125" s="6" cm="1">
        <f t="array" ref="H125">_xlfn.XLOOKUP($B125,CodeMinutesTable[[Code]:[Code]],CodeMinutesTable[[Minutes]:[Minutes]]) *_xlfn.XLOOKUP(H$1,'Provider Rates'!$A$2:$A$15,'Provider Rates'!$C$2:$C$15)</f>
        <v>325</v>
      </c>
      <c r="I125" s="6" cm="1">
        <f t="array" ref="I125">_xlfn.XLOOKUP($B125,CodeMinutesTable[[Code]:[Code]],CodeMinutesTable[[Minutes]:[Minutes]]) *_xlfn.XLOOKUP(I$1,'Provider Rates'!$A$2:$A$15,'Provider Rates'!$C$2:$C$15)</f>
        <v>300</v>
      </c>
      <c r="J125" s="6" cm="1">
        <f t="array" ref="J125">_xlfn.XLOOKUP($B125,CodeMinutesTable[[Code]:[Code]],CodeMinutesTable[[Minutes]:[Minutes]]) *_xlfn.XLOOKUP(J$1,'Provider Rates'!$A$2:$A$15,'Provider Rates'!$C$2:$C$15)</f>
        <v>275</v>
      </c>
      <c r="K125" s="6" cm="1">
        <f t="array" ref="K125">_xlfn.XLOOKUP($B125,CodeMinutesTable[[Code]:[Code]],CodeMinutesTable[[Minutes]:[Minutes]]) *_xlfn.XLOOKUP(K$1,'Provider Rates'!$A$2:$A$15,'Provider Rates'!$C$2:$C$15)</f>
        <v>250.00000000000003</v>
      </c>
      <c r="L125" s="6" cm="1">
        <f t="array" ref="L125">_xlfn.XLOOKUP($B125,CodeMinutesTable[[Code]:[Code]],CodeMinutesTable[[Minutes]:[Minutes]]) *_xlfn.XLOOKUP(L$1,'Provider Rates'!$A$2:$A$15,'Provider Rates'!$C$2:$C$15)</f>
        <v>225</v>
      </c>
      <c r="M125" s="6" cm="1">
        <f t="array" ref="M125">_xlfn.XLOOKUP($B125,CodeMinutesTable[[Code]:[Code]],CodeMinutesTable[[Minutes]:[Minutes]]) *_xlfn.XLOOKUP(M$1,'Provider Rates'!$A$2:$A$15,'Provider Rates'!$C$2:$C$15)</f>
        <v>200</v>
      </c>
      <c r="N125" s="6" cm="1">
        <f t="array" ref="N125">_xlfn.XLOOKUP($B125,CodeMinutesTable[[Code]:[Code]],CodeMinutesTable[[Minutes]:[Minutes]]) *_xlfn.XLOOKUP(N$1,'Provider Rates'!$A$2:$A$15,'Provider Rates'!$C$2:$C$15)</f>
        <v>175</v>
      </c>
      <c r="O125" s="6" cm="1">
        <f t="array" ref="O125">_xlfn.XLOOKUP($B125,CodeMinutesTable[[Code]:[Code]],CodeMinutesTable[[Minutes]:[Minutes]]) *_xlfn.XLOOKUP(O$1,'Provider Rates'!$A$2:$A$15,'Provider Rates'!$C$2:$C$15)</f>
        <v>150</v>
      </c>
      <c r="P125" s="6" cm="1">
        <f t="array" ref="P125">_xlfn.XLOOKUP($B125,CodeMinutesTable[[Code]:[Code]],CodeMinutesTable[[Minutes]:[Minutes]]) *_xlfn.XLOOKUP(P$1,'Provider Rates'!$A$2:$A$15,'Provider Rates'!$C$2:$C$15)</f>
        <v>100</v>
      </c>
      <c r="Q125" s="6">
        <f>VLOOKUP($B125, CodeMinutesTable[[Code]:[Minutes]], 3, FALSE) * VLOOKUP(Q$1, ProviderRatesTable[], 3, FALSE)</f>
        <v>75</v>
      </c>
    </row>
    <row r="126" spans="1:17" hidden="1" x14ac:dyDescent="0.25">
      <c r="A126" s="3" t="str">
        <f>INDEX(CodeMinutesTable[Frequently Used],MATCH(CodeRatesTable[[#This Row],[Billing Code]],CodeMinutesTable[Code],0))</f>
        <v>No</v>
      </c>
      <c r="B126" s="3" t="s">
        <v>286</v>
      </c>
      <c r="C126" t="s">
        <v>287</v>
      </c>
      <c r="D126" s="6">
        <f>VLOOKUP($B126, CodeMinutesTable[[Code]:[Minutes]], 3, FALSE) * VLOOKUP(D$1, ProviderRatesTable[], 3, FALSE)</f>
        <v>425</v>
      </c>
      <c r="E126" s="6" cm="1">
        <f t="array" ref="E126">_xlfn.XLOOKUP($B126,CodeMinutesTable[[Code]:[Code]],CodeMinutesTable[[Minutes]:[Minutes]]) *_xlfn.XLOOKUP(E$1,'Provider Rates'!$A$2:$A$15,'Provider Rates'!$C$2:$C$15)</f>
        <v>400</v>
      </c>
      <c r="F126" s="6" cm="1">
        <f t="array" ref="F126">_xlfn.XLOOKUP($B126,CodeMinutesTable[[Code]:[Code]],CodeMinutesTable[[Minutes]:[Minutes]]) *_xlfn.XLOOKUP(F$1,'Provider Rates'!$A$2:$A$15,'Provider Rates'!$C$2:$C$15)</f>
        <v>375</v>
      </c>
      <c r="G126" s="6" cm="1">
        <f t="array" ref="G126">_xlfn.XLOOKUP($B126,CodeMinutesTable[[Code]:[Code]],CodeMinutesTable[[Minutes]:[Minutes]]) *_xlfn.XLOOKUP(G$1,'Provider Rates'!$A$2:$A$15,'Provider Rates'!$C$2:$C$15)</f>
        <v>350</v>
      </c>
      <c r="H126" s="6" cm="1">
        <f t="array" ref="H126">_xlfn.XLOOKUP($B126,CodeMinutesTable[[Code]:[Code]],CodeMinutesTable[[Minutes]:[Minutes]]) *_xlfn.XLOOKUP(H$1,'Provider Rates'!$A$2:$A$15,'Provider Rates'!$C$2:$C$15)</f>
        <v>325</v>
      </c>
      <c r="I126" s="6" cm="1">
        <f t="array" ref="I126">_xlfn.XLOOKUP($B126,CodeMinutesTable[[Code]:[Code]],CodeMinutesTable[[Minutes]:[Minutes]]) *_xlfn.XLOOKUP(I$1,'Provider Rates'!$A$2:$A$15,'Provider Rates'!$C$2:$C$15)</f>
        <v>300</v>
      </c>
      <c r="J126" s="6" cm="1">
        <f t="array" ref="J126">_xlfn.XLOOKUP($B126,CodeMinutesTable[[Code]:[Code]],CodeMinutesTable[[Minutes]:[Minutes]]) *_xlfn.XLOOKUP(J$1,'Provider Rates'!$A$2:$A$15,'Provider Rates'!$C$2:$C$15)</f>
        <v>275</v>
      </c>
      <c r="K126" s="6" cm="1">
        <f t="array" ref="K126">_xlfn.XLOOKUP($B126,CodeMinutesTable[[Code]:[Code]],CodeMinutesTable[[Minutes]:[Minutes]]) *_xlfn.XLOOKUP(K$1,'Provider Rates'!$A$2:$A$15,'Provider Rates'!$C$2:$C$15)</f>
        <v>250.00000000000003</v>
      </c>
      <c r="L126" s="6" cm="1">
        <f t="array" ref="L126">_xlfn.XLOOKUP($B126,CodeMinutesTable[[Code]:[Code]],CodeMinutesTable[[Minutes]:[Minutes]]) *_xlfn.XLOOKUP(L$1,'Provider Rates'!$A$2:$A$15,'Provider Rates'!$C$2:$C$15)</f>
        <v>225</v>
      </c>
      <c r="M126" s="6" cm="1">
        <f t="array" ref="M126">_xlfn.XLOOKUP($B126,CodeMinutesTable[[Code]:[Code]],CodeMinutesTable[[Minutes]:[Minutes]]) *_xlfn.XLOOKUP(M$1,'Provider Rates'!$A$2:$A$15,'Provider Rates'!$C$2:$C$15)</f>
        <v>200</v>
      </c>
      <c r="N126" s="6" cm="1">
        <f t="array" ref="N126">_xlfn.XLOOKUP($B126,CodeMinutesTable[[Code]:[Code]],CodeMinutesTable[[Minutes]:[Minutes]]) *_xlfn.XLOOKUP(N$1,'Provider Rates'!$A$2:$A$15,'Provider Rates'!$C$2:$C$15)</f>
        <v>175</v>
      </c>
      <c r="O126" s="6" cm="1">
        <f t="array" ref="O126">_xlfn.XLOOKUP($B126,CodeMinutesTable[[Code]:[Code]],CodeMinutesTable[[Minutes]:[Minutes]]) *_xlfn.XLOOKUP(O$1,'Provider Rates'!$A$2:$A$15,'Provider Rates'!$C$2:$C$15)</f>
        <v>150</v>
      </c>
      <c r="P126" s="6" cm="1">
        <f t="array" ref="P126">_xlfn.XLOOKUP($B126,CodeMinutesTable[[Code]:[Code]],CodeMinutesTable[[Minutes]:[Minutes]]) *_xlfn.XLOOKUP(P$1,'Provider Rates'!$A$2:$A$15,'Provider Rates'!$C$2:$C$15)</f>
        <v>100</v>
      </c>
      <c r="Q126" s="6">
        <f>VLOOKUP($B126, CodeMinutesTable[[Code]:[Minutes]], 3, FALSE) * VLOOKUP(Q$1, ProviderRatesTable[], 3, FALSE)</f>
        <v>75</v>
      </c>
    </row>
    <row r="127" spans="1:17" hidden="1" x14ac:dyDescent="0.25">
      <c r="A127" s="3" t="str">
        <f>INDEX(CodeMinutesTable[Frequently Used],MATCH(CodeRatesTable[[#This Row],[Billing Code]],CodeMinutesTable[Code],0))</f>
        <v>No</v>
      </c>
      <c r="B127" s="3" t="s">
        <v>288</v>
      </c>
      <c r="C127" t="s">
        <v>289</v>
      </c>
      <c r="D127" s="6">
        <f>VLOOKUP($B127, CodeMinutesTable[[Code]:[Minutes]], 3, FALSE) * VLOOKUP(D$1, ProviderRatesTable[], 3, FALSE)</f>
        <v>425</v>
      </c>
      <c r="E127" s="6" cm="1">
        <f t="array" ref="E127">_xlfn.XLOOKUP($B127,CodeMinutesTable[[Code]:[Code]],CodeMinutesTable[[Minutes]:[Minutes]]) *_xlfn.XLOOKUP(E$1,'Provider Rates'!$A$2:$A$15,'Provider Rates'!$C$2:$C$15)</f>
        <v>400</v>
      </c>
      <c r="F127" s="6" cm="1">
        <f t="array" ref="F127">_xlfn.XLOOKUP($B127,CodeMinutesTable[[Code]:[Code]],CodeMinutesTable[[Minutes]:[Minutes]]) *_xlfn.XLOOKUP(F$1,'Provider Rates'!$A$2:$A$15,'Provider Rates'!$C$2:$C$15)</f>
        <v>375</v>
      </c>
      <c r="G127" s="6" cm="1">
        <f t="array" ref="G127">_xlfn.XLOOKUP($B127,CodeMinutesTable[[Code]:[Code]],CodeMinutesTable[[Minutes]:[Minutes]]) *_xlfn.XLOOKUP(G$1,'Provider Rates'!$A$2:$A$15,'Provider Rates'!$C$2:$C$15)</f>
        <v>350</v>
      </c>
      <c r="H127" s="6" cm="1">
        <f t="array" ref="H127">_xlfn.XLOOKUP($B127,CodeMinutesTable[[Code]:[Code]],CodeMinutesTable[[Minutes]:[Minutes]]) *_xlfn.XLOOKUP(H$1,'Provider Rates'!$A$2:$A$15,'Provider Rates'!$C$2:$C$15)</f>
        <v>325</v>
      </c>
      <c r="I127" s="6" cm="1">
        <f t="array" ref="I127">_xlfn.XLOOKUP($B127,CodeMinutesTable[[Code]:[Code]],CodeMinutesTable[[Minutes]:[Minutes]]) *_xlfn.XLOOKUP(I$1,'Provider Rates'!$A$2:$A$15,'Provider Rates'!$C$2:$C$15)</f>
        <v>300</v>
      </c>
      <c r="J127" s="6" cm="1">
        <f t="array" ref="J127">_xlfn.XLOOKUP($B127,CodeMinutesTable[[Code]:[Code]],CodeMinutesTable[[Minutes]:[Minutes]]) *_xlfn.XLOOKUP(J$1,'Provider Rates'!$A$2:$A$15,'Provider Rates'!$C$2:$C$15)</f>
        <v>275</v>
      </c>
      <c r="K127" s="6" cm="1">
        <f t="array" ref="K127">_xlfn.XLOOKUP($B127,CodeMinutesTable[[Code]:[Code]],CodeMinutesTable[[Minutes]:[Minutes]]) *_xlfn.XLOOKUP(K$1,'Provider Rates'!$A$2:$A$15,'Provider Rates'!$C$2:$C$15)</f>
        <v>250.00000000000003</v>
      </c>
      <c r="L127" s="6" cm="1">
        <f t="array" ref="L127">_xlfn.XLOOKUP($B127,CodeMinutesTable[[Code]:[Code]],CodeMinutesTable[[Minutes]:[Minutes]]) *_xlfn.XLOOKUP(L$1,'Provider Rates'!$A$2:$A$15,'Provider Rates'!$C$2:$C$15)</f>
        <v>225</v>
      </c>
      <c r="M127" s="6" cm="1">
        <f t="array" ref="M127">_xlfn.XLOOKUP($B127,CodeMinutesTable[[Code]:[Code]],CodeMinutesTable[[Minutes]:[Minutes]]) *_xlfn.XLOOKUP(M$1,'Provider Rates'!$A$2:$A$15,'Provider Rates'!$C$2:$C$15)</f>
        <v>200</v>
      </c>
      <c r="N127" s="6" cm="1">
        <f t="array" ref="N127">_xlfn.XLOOKUP($B127,CodeMinutesTable[[Code]:[Code]],CodeMinutesTable[[Minutes]:[Minutes]]) *_xlfn.XLOOKUP(N$1,'Provider Rates'!$A$2:$A$15,'Provider Rates'!$C$2:$C$15)</f>
        <v>175</v>
      </c>
      <c r="O127" s="6" cm="1">
        <f t="array" ref="O127">_xlfn.XLOOKUP($B127,CodeMinutesTable[[Code]:[Code]],CodeMinutesTable[[Minutes]:[Minutes]]) *_xlfn.XLOOKUP(O$1,'Provider Rates'!$A$2:$A$15,'Provider Rates'!$C$2:$C$15)</f>
        <v>150</v>
      </c>
      <c r="P127" s="6" cm="1">
        <f t="array" ref="P127">_xlfn.XLOOKUP($B127,CodeMinutesTable[[Code]:[Code]],CodeMinutesTable[[Minutes]:[Minutes]]) *_xlfn.XLOOKUP(P$1,'Provider Rates'!$A$2:$A$15,'Provider Rates'!$C$2:$C$15)</f>
        <v>100</v>
      </c>
      <c r="Q127" s="6">
        <f>VLOOKUP($B127, CodeMinutesTable[[Code]:[Minutes]], 3, FALSE) * VLOOKUP(Q$1, ProviderRatesTable[], 3, FALSE)</f>
        <v>75</v>
      </c>
    </row>
    <row r="128" spans="1:17" x14ac:dyDescent="0.25">
      <c r="A128" s="3" t="str">
        <f>INDEX(CodeMinutesTable[Frequently Used],MATCH(CodeRatesTable[[#This Row],[Billing Code]],CodeMinutesTable[Code],0))</f>
        <v>Yes</v>
      </c>
      <c r="B128" s="3" t="s">
        <v>290</v>
      </c>
      <c r="C128" t="s">
        <v>291</v>
      </c>
      <c r="D128" s="6">
        <f>VLOOKUP($B128, CodeMinutesTable[[Code]:[Minutes]], 3, FALSE) * VLOOKUP(D$1, ProviderRatesTable[], 3, FALSE)</f>
        <v>425</v>
      </c>
      <c r="E128" s="6">
        <f>VLOOKUP($B128, CodeMinutesTable[[Code]:[Minutes]], 3, FALSE) * VLOOKUP(E$1, ProviderRatesTable[], 3, FALSE)</f>
        <v>400</v>
      </c>
      <c r="F128" s="6">
        <f>VLOOKUP($B128, CodeMinutesTable[[Code]:[Minutes]], 3, FALSE) * VLOOKUP(F$1, ProviderRatesTable[], 3, FALSE)</f>
        <v>375</v>
      </c>
      <c r="G128" s="6">
        <f>VLOOKUP($B128, CodeMinutesTable[[Code]:[Minutes]], 3, FALSE) * VLOOKUP(G$1, ProviderRatesTable[], 3, FALSE)</f>
        <v>350</v>
      </c>
      <c r="H128" s="6">
        <f>VLOOKUP($B128, CodeMinutesTable[[Code]:[Minutes]], 3, FALSE) * VLOOKUP(H$1, ProviderRatesTable[], 3, FALSE)</f>
        <v>325</v>
      </c>
      <c r="I128" s="6">
        <f>VLOOKUP($B128, CodeMinutesTable[[Code]:[Minutes]], 3, FALSE) * VLOOKUP(I$1, ProviderRatesTable[], 3, FALSE)</f>
        <v>300</v>
      </c>
      <c r="J128" s="6">
        <f>VLOOKUP($B128, CodeMinutesTable[[Code]:[Minutes]], 3, FALSE) * VLOOKUP(J$1, ProviderRatesTable[], 3, FALSE)</f>
        <v>275</v>
      </c>
      <c r="K128" s="6">
        <f>VLOOKUP($B128, CodeMinutesTable[[Code]:[Minutes]], 3, FALSE) * VLOOKUP(K$1, ProviderRatesTable[], 3, FALSE)</f>
        <v>250.00000000000003</v>
      </c>
      <c r="L128" s="6">
        <f>VLOOKUP($B128, CodeMinutesTable[[Code]:[Minutes]], 3, FALSE) * VLOOKUP(L$1, ProviderRatesTable[], 3, FALSE)</f>
        <v>225</v>
      </c>
      <c r="M128" s="6">
        <f>VLOOKUP($B128, CodeMinutesTable[[Code]:[Minutes]], 3, FALSE) * VLOOKUP(M$1, ProviderRatesTable[], 3, FALSE)</f>
        <v>200</v>
      </c>
      <c r="N128" s="6">
        <f>VLOOKUP($B128, CodeMinutesTable[[Code]:[Minutes]], 3, FALSE) * VLOOKUP(N$1, ProviderRatesTable[], 3, FALSE)</f>
        <v>175</v>
      </c>
      <c r="O128" s="6">
        <f>VLOOKUP($B128, CodeMinutesTable[[Code]:[Minutes]], 3, FALSE) * VLOOKUP(O$1, ProviderRatesTable[], 3, FALSE)</f>
        <v>150</v>
      </c>
      <c r="P128" s="6">
        <f>VLOOKUP($B128, CodeMinutesTable[[Code]:[Minutes]], 3, FALSE) * VLOOKUP(P$1, ProviderRatesTable[], 3, FALSE)</f>
        <v>100</v>
      </c>
      <c r="Q128" s="6">
        <f>VLOOKUP($B128, CodeMinutesTable[[Code]:[Minutes]], 3, FALSE) * VLOOKUP(Q$1, ProviderRatesTable[], 3, FALSE)</f>
        <v>75</v>
      </c>
    </row>
    <row r="129" spans="1:17" x14ac:dyDescent="0.25">
      <c r="A129" s="3" t="str">
        <f>INDEX(CodeMinutesTable[Frequently Used],MATCH(CodeRatesTable[[#This Row],[Billing Code]],CodeMinutesTable[Code],0))</f>
        <v>Yes</v>
      </c>
      <c r="B129" s="3" t="s">
        <v>292</v>
      </c>
      <c r="C129" t="s">
        <v>293</v>
      </c>
      <c r="D129" s="6">
        <f>VLOOKUP($B129, CodeMinutesTable[[Code]:[Minutes]], 3, FALSE) * VLOOKUP(D$1, ProviderRatesTable[], 3, FALSE)</f>
        <v>425</v>
      </c>
      <c r="E129" s="6">
        <f>VLOOKUP($B129, CodeMinutesTable[[Code]:[Minutes]], 3, FALSE) * VLOOKUP(E$1, ProviderRatesTable[], 3, FALSE)</f>
        <v>400</v>
      </c>
      <c r="F129" s="6">
        <f>VLOOKUP($B129, CodeMinutesTable[[Code]:[Minutes]], 3, FALSE) * VLOOKUP(F$1, ProviderRatesTable[], 3, FALSE)</f>
        <v>375</v>
      </c>
      <c r="G129" s="6">
        <f>VLOOKUP($B129, CodeMinutesTable[[Code]:[Minutes]], 3, FALSE) * VLOOKUP(G$1, ProviderRatesTable[], 3, FALSE)</f>
        <v>350</v>
      </c>
      <c r="H129" s="6">
        <f>VLOOKUP($B129, CodeMinutesTable[[Code]:[Minutes]], 3, FALSE) * VLOOKUP(H$1, ProviderRatesTable[], 3, FALSE)</f>
        <v>325</v>
      </c>
      <c r="I129" s="6">
        <f>VLOOKUP($B129, CodeMinutesTable[[Code]:[Minutes]], 3, FALSE) * VLOOKUP(I$1, ProviderRatesTable[], 3, FALSE)</f>
        <v>300</v>
      </c>
      <c r="J129" s="6">
        <f>VLOOKUP($B129, CodeMinutesTable[[Code]:[Minutes]], 3, FALSE) * VLOOKUP(J$1, ProviderRatesTable[], 3, FALSE)</f>
        <v>275</v>
      </c>
      <c r="K129" s="6">
        <f>VLOOKUP($B129, CodeMinutesTable[[Code]:[Minutes]], 3, FALSE) * VLOOKUP(K$1, ProviderRatesTable[], 3, FALSE)</f>
        <v>250.00000000000003</v>
      </c>
      <c r="L129" s="6">
        <f>VLOOKUP($B129, CodeMinutesTable[[Code]:[Minutes]], 3, FALSE) * VLOOKUP(L$1, ProviderRatesTable[], 3, FALSE)</f>
        <v>225</v>
      </c>
      <c r="M129" s="6">
        <f>VLOOKUP($B129, CodeMinutesTable[[Code]:[Minutes]], 3, FALSE) * VLOOKUP(M$1, ProviderRatesTable[], 3, FALSE)</f>
        <v>200</v>
      </c>
      <c r="N129" s="6">
        <f>VLOOKUP($B129, CodeMinutesTable[[Code]:[Minutes]], 3, FALSE) * VLOOKUP(N$1, ProviderRatesTable[], 3, FALSE)</f>
        <v>175</v>
      </c>
      <c r="O129" s="6">
        <f>VLOOKUP($B129, CodeMinutesTable[[Code]:[Minutes]], 3, FALSE) * VLOOKUP(O$1, ProviderRatesTable[], 3, FALSE)</f>
        <v>150</v>
      </c>
      <c r="P129" s="6">
        <f>VLOOKUP($B129, CodeMinutesTable[[Code]:[Minutes]], 3, FALSE) * VLOOKUP(P$1, ProviderRatesTable[], 3, FALSE)</f>
        <v>100</v>
      </c>
      <c r="Q129" s="6">
        <f>VLOOKUP($B129, CodeMinutesTable[[Code]:[Minutes]], 3, FALSE) * VLOOKUP(Q$1, ProviderRatesTable[], 3, FALSE)</f>
        <v>75</v>
      </c>
    </row>
    <row r="130" spans="1:17" x14ac:dyDescent="0.25">
      <c r="A130" s="3" t="str">
        <f>INDEX(CodeMinutesTable[Frequently Used],MATCH(CodeRatesTable[[#This Row],[Billing Code]],CodeMinutesTable[Code],0))</f>
        <v>Yes</v>
      </c>
      <c r="B130" s="3" t="s">
        <v>294</v>
      </c>
      <c r="C130" t="s">
        <v>295</v>
      </c>
      <c r="D130" s="6">
        <f>VLOOKUP($B130, CodeMinutesTable[[Code]:[Minutes]], 3, FALSE) * VLOOKUP(D$1, ProviderRatesTable[], 3, FALSE)</f>
        <v>425</v>
      </c>
      <c r="E130" s="6">
        <f>VLOOKUP($B130, CodeMinutesTable[[Code]:[Minutes]], 3, FALSE) * VLOOKUP(E$1, ProviderRatesTable[], 3, FALSE)</f>
        <v>400</v>
      </c>
      <c r="F130" s="6">
        <f>VLOOKUP($B130, CodeMinutesTable[[Code]:[Minutes]], 3, FALSE) * VLOOKUP(F$1, ProviderRatesTable[], 3, FALSE)</f>
        <v>375</v>
      </c>
      <c r="G130" s="6">
        <f>VLOOKUP($B130, CodeMinutesTable[[Code]:[Minutes]], 3, FALSE) * VLOOKUP(G$1, ProviderRatesTable[], 3, FALSE)</f>
        <v>350</v>
      </c>
      <c r="H130" s="6">
        <f>VLOOKUP($B130, CodeMinutesTable[[Code]:[Minutes]], 3, FALSE) * VLOOKUP(H$1, ProviderRatesTable[], 3, FALSE)</f>
        <v>325</v>
      </c>
      <c r="I130" s="6">
        <f>VLOOKUP($B130, CodeMinutesTable[[Code]:[Minutes]], 3, FALSE) * VLOOKUP(I$1, ProviderRatesTable[], 3, FALSE)</f>
        <v>300</v>
      </c>
      <c r="J130" s="6">
        <f>VLOOKUP($B130, CodeMinutesTable[[Code]:[Minutes]], 3, FALSE) * VLOOKUP(J$1, ProviderRatesTable[], 3, FALSE)</f>
        <v>275</v>
      </c>
      <c r="K130" s="6">
        <f>VLOOKUP($B130, CodeMinutesTable[[Code]:[Minutes]], 3, FALSE) * VLOOKUP(K$1, ProviderRatesTable[], 3, FALSE)</f>
        <v>250.00000000000003</v>
      </c>
      <c r="L130" s="6">
        <f>VLOOKUP($B130, CodeMinutesTable[[Code]:[Minutes]], 3, FALSE) * VLOOKUP(L$1, ProviderRatesTable[], 3, FALSE)</f>
        <v>225</v>
      </c>
      <c r="M130" s="6">
        <f>VLOOKUP($B130, CodeMinutesTable[[Code]:[Minutes]], 3, FALSE) * VLOOKUP(M$1, ProviderRatesTable[], 3, FALSE)</f>
        <v>200</v>
      </c>
      <c r="N130" s="6">
        <f>VLOOKUP($B130, CodeMinutesTable[[Code]:[Minutes]], 3, FALSE) * VLOOKUP(N$1, ProviderRatesTable[], 3, FALSE)</f>
        <v>175</v>
      </c>
      <c r="O130" s="6">
        <f>VLOOKUP($B130, CodeMinutesTable[[Code]:[Minutes]], 3, FALSE) * VLOOKUP(O$1, ProviderRatesTable[], 3, FALSE)</f>
        <v>150</v>
      </c>
      <c r="P130" s="6">
        <f>VLOOKUP($B130, CodeMinutesTable[[Code]:[Minutes]], 3, FALSE) * VLOOKUP(P$1, ProviderRatesTable[], 3, FALSE)</f>
        <v>100</v>
      </c>
      <c r="Q130" s="6">
        <f>VLOOKUP($B130, CodeMinutesTable[[Code]:[Minutes]], 3, FALSE) * VLOOKUP(Q$1, ProviderRatesTable[], 3, FALSE)</f>
        <v>75</v>
      </c>
    </row>
    <row r="131" spans="1:17" x14ac:dyDescent="0.25">
      <c r="A131" s="3" t="str">
        <f>INDEX(CodeMinutesTable[Frequently Used],MATCH(CodeRatesTable[[#This Row],[Billing Code]],CodeMinutesTable[Code],0))</f>
        <v>Yes</v>
      </c>
      <c r="B131" s="3" t="s">
        <v>296</v>
      </c>
      <c r="C131" t="s">
        <v>297</v>
      </c>
      <c r="D131" s="6">
        <f>VLOOKUP($B131, CodeMinutesTable[[Code]:[Minutes]], 3, FALSE) * VLOOKUP(D$1, ProviderRatesTable[], 3, FALSE)</f>
        <v>425</v>
      </c>
      <c r="E131" s="6">
        <f>VLOOKUP($B131, CodeMinutesTable[[Code]:[Minutes]], 3, FALSE) * VLOOKUP(E$1, ProviderRatesTable[], 3, FALSE)</f>
        <v>400</v>
      </c>
      <c r="F131" s="6">
        <f>VLOOKUP($B131, CodeMinutesTable[[Code]:[Minutes]], 3, FALSE) * VLOOKUP(F$1, ProviderRatesTable[], 3, FALSE)</f>
        <v>375</v>
      </c>
      <c r="G131" s="6">
        <f>VLOOKUP($B131, CodeMinutesTable[[Code]:[Minutes]], 3, FALSE) * VLOOKUP(G$1, ProviderRatesTable[], 3, FALSE)</f>
        <v>350</v>
      </c>
      <c r="H131" s="6">
        <f>VLOOKUP($B131, CodeMinutesTable[[Code]:[Minutes]], 3, FALSE) * VLOOKUP(H$1, ProviderRatesTable[], 3, FALSE)</f>
        <v>325</v>
      </c>
      <c r="I131" s="6">
        <f>VLOOKUP($B131, CodeMinutesTable[[Code]:[Minutes]], 3, FALSE) * VLOOKUP(I$1, ProviderRatesTable[], 3, FALSE)</f>
        <v>300</v>
      </c>
      <c r="J131" s="6">
        <f>VLOOKUP($B131, CodeMinutesTable[[Code]:[Minutes]], 3, FALSE) * VLOOKUP(J$1, ProviderRatesTable[], 3, FALSE)</f>
        <v>275</v>
      </c>
      <c r="K131" s="6">
        <f>VLOOKUP($B131, CodeMinutesTable[[Code]:[Minutes]], 3, FALSE) * VLOOKUP(K$1, ProviderRatesTable[], 3, FALSE)</f>
        <v>250.00000000000003</v>
      </c>
      <c r="L131" s="6">
        <f>VLOOKUP($B131, CodeMinutesTable[[Code]:[Minutes]], 3, FALSE) * VLOOKUP(L$1, ProviderRatesTable[], 3, FALSE)</f>
        <v>225</v>
      </c>
      <c r="M131" s="6">
        <f>VLOOKUP($B131, CodeMinutesTable[[Code]:[Minutes]], 3, FALSE) * VLOOKUP(M$1, ProviderRatesTable[], 3, FALSE)</f>
        <v>200</v>
      </c>
      <c r="N131" s="6">
        <f>VLOOKUP($B131, CodeMinutesTable[[Code]:[Minutes]], 3, FALSE) * VLOOKUP(N$1, ProviderRatesTable[], 3, FALSE)</f>
        <v>175</v>
      </c>
      <c r="O131" s="6">
        <f>VLOOKUP($B131, CodeMinutesTable[[Code]:[Minutes]], 3, FALSE) * VLOOKUP(O$1, ProviderRatesTable[], 3, FALSE)</f>
        <v>150</v>
      </c>
      <c r="P131" s="6">
        <f>VLOOKUP($B131, CodeMinutesTable[[Code]:[Minutes]], 3, FALSE) * VLOOKUP(P$1, ProviderRatesTable[], 3, FALSE)</f>
        <v>100</v>
      </c>
      <c r="Q131" s="6">
        <f>VLOOKUP($B131, CodeMinutesTable[[Code]:[Minutes]], 3, FALSE) * VLOOKUP(Q$1, ProviderRatesTable[], 3, FALSE)</f>
        <v>75</v>
      </c>
    </row>
    <row r="132" spans="1:17" x14ac:dyDescent="0.25">
      <c r="A132" s="3" t="str">
        <f>INDEX(CodeMinutesTable[Frequently Used],MATCH(CodeRatesTable[[#This Row],[Billing Code]],CodeMinutesTable[Code],0))</f>
        <v>Yes</v>
      </c>
      <c r="B132" s="3" t="s">
        <v>298</v>
      </c>
      <c r="C132" t="s">
        <v>299</v>
      </c>
      <c r="D132" s="6">
        <f>VLOOKUP($B132, CodeMinutesTable[[Code]:[Minutes]], 3, FALSE) * VLOOKUP(D$1, ProviderRatesTable[], 3, FALSE)</f>
        <v>425</v>
      </c>
      <c r="E132" s="6">
        <f>VLOOKUP($B132, CodeMinutesTable[[Code]:[Minutes]], 3, FALSE) * VLOOKUP(E$1, ProviderRatesTable[], 3, FALSE)</f>
        <v>400</v>
      </c>
      <c r="F132" s="6">
        <f>VLOOKUP($B132, CodeMinutesTable[[Code]:[Minutes]], 3, FALSE) * VLOOKUP(F$1, ProviderRatesTable[], 3, FALSE)</f>
        <v>375</v>
      </c>
      <c r="G132" s="6">
        <f>VLOOKUP($B132, CodeMinutesTable[[Code]:[Minutes]], 3, FALSE) * VLOOKUP(G$1, ProviderRatesTable[], 3, FALSE)</f>
        <v>350</v>
      </c>
      <c r="H132" s="6">
        <f>VLOOKUP($B132, CodeMinutesTable[[Code]:[Minutes]], 3, FALSE) * VLOOKUP(H$1, ProviderRatesTable[], 3, FALSE)</f>
        <v>325</v>
      </c>
      <c r="I132" s="6">
        <f>VLOOKUP($B132, CodeMinutesTable[[Code]:[Minutes]], 3, FALSE) * VLOOKUP(I$1, ProviderRatesTable[], 3, FALSE)</f>
        <v>300</v>
      </c>
      <c r="J132" s="6">
        <f>VLOOKUP($B132, CodeMinutesTable[[Code]:[Minutes]], 3, FALSE) * VLOOKUP(J$1, ProviderRatesTable[], 3, FALSE)</f>
        <v>275</v>
      </c>
      <c r="K132" s="6">
        <f>VLOOKUP($B132, CodeMinutesTable[[Code]:[Minutes]], 3, FALSE) * VLOOKUP(K$1, ProviderRatesTable[], 3, FALSE)</f>
        <v>250.00000000000003</v>
      </c>
      <c r="L132" s="6">
        <f>VLOOKUP($B132, CodeMinutesTable[[Code]:[Minutes]], 3, FALSE) * VLOOKUP(L$1, ProviderRatesTable[], 3, FALSE)</f>
        <v>225</v>
      </c>
      <c r="M132" s="6">
        <f>VLOOKUP($B132, CodeMinutesTable[[Code]:[Minutes]], 3, FALSE) * VLOOKUP(M$1, ProviderRatesTable[], 3, FALSE)</f>
        <v>200</v>
      </c>
      <c r="N132" s="6">
        <f>VLOOKUP($B132, CodeMinutesTable[[Code]:[Minutes]], 3, FALSE) * VLOOKUP(N$1, ProviderRatesTable[], 3, FALSE)</f>
        <v>175</v>
      </c>
      <c r="O132" s="6">
        <f>VLOOKUP($B132, CodeMinutesTable[[Code]:[Minutes]], 3, FALSE) * VLOOKUP(O$1, ProviderRatesTable[], 3, FALSE)</f>
        <v>150</v>
      </c>
      <c r="P132" s="6">
        <f>VLOOKUP($B132, CodeMinutesTable[[Code]:[Minutes]], 3, FALSE) * VLOOKUP(P$1, ProviderRatesTable[], 3, FALSE)</f>
        <v>100</v>
      </c>
      <c r="Q132" s="6">
        <f>VLOOKUP($B132, CodeMinutesTable[[Code]:[Minutes]], 3, FALSE) * VLOOKUP(Q$1, ProviderRatesTable[], 3, FALSE)</f>
        <v>75</v>
      </c>
    </row>
    <row r="133" spans="1:17" hidden="1" x14ac:dyDescent="0.25">
      <c r="A133" s="3" t="str">
        <f>INDEX(CodeMinutesTable[Frequently Used],MATCH(CodeRatesTable[[#This Row],[Billing Code]],CodeMinutesTable[Code],0))</f>
        <v>No</v>
      </c>
      <c r="B133" s="3" t="s">
        <v>300</v>
      </c>
      <c r="C133" t="s">
        <v>301</v>
      </c>
      <c r="D133" s="6">
        <f>VLOOKUP($B133, CodeMinutesTable[[Code]:[Minutes]], 3, FALSE) * VLOOKUP(D$1, ProviderRatesTable[], 3, FALSE)</f>
        <v>425</v>
      </c>
      <c r="E133" s="6" cm="1">
        <f t="array" ref="E133">_xlfn.XLOOKUP($B133,CodeMinutesTable[[Code]:[Code]],CodeMinutesTable[[Minutes]:[Minutes]]) *_xlfn.XLOOKUP(E$1,'Provider Rates'!$A$2:$A$15,'Provider Rates'!$C$2:$C$15)</f>
        <v>400</v>
      </c>
      <c r="F133" s="6" cm="1">
        <f t="array" ref="F133">_xlfn.XLOOKUP($B133,CodeMinutesTable[[Code]:[Code]],CodeMinutesTable[[Minutes]:[Minutes]]) *_xlfn.XLOOKUP(F$1,'Provider Rates'!$A$2:$A$15,'Provider Rates'!$C$2:$C$15)</f>
        <v>375</v>
      </c>
      <c r="G133" s="6" cm="1">
        <f t="array" ref="G133">_xlfn.XLOOKUP($B133,CodeMinutesTable[[Code]:[Code]],CodeMinutesTable[[Minutes]:[Minutes]]) *_xlfn.XLOOKUP(G$1,'Provider Rates'!$A$2:$A$15,'Provider Rates'!$C$2:$C$15)</f>
        <v>350</v>
      </c>
      <c r="H133" s="6" cm="1">
        <f t="array" ref="H133">_xlfn.XLOOKUP($B133,CodeMinutesTable[[Code]:[Code]],CodeMinutesTable[[Minutes]:[Minutes]]) *_xlfn.XLOOKUP(H$1,'Provider Rates'!$A$2:$A$15,'Provider Rates'!$C$2:$C$15)</f>
        <v>325</v>
      </c>
      <c r="I133" s="6" cm="1">
        <f t="array" ref="I133">_xlfn.XLOOKUP($B133,CodeMinutesTable[[Code]:[Code]],CodeMinutesTable[[Minutes]:[Minutes]]) *_xlfn.XLOOKUP(I$1,'Provider Rates'!$A$2:$A$15,'Provider Rates'!$C$2:$C$15)</f>
        <v>300</v>
      </c>
      <c r="J133" s="6" cm="1">
        <f t="array" ref="J133">_xlfn.XLOOKUP($B133,CodeMinutesTable[[Code]:[Code]],CodeMinutesTable[[Minutes]:[Minutes]]) *_xlfn.XLOOKUP(J$1,'Provider Rates'!$A$2:$A$15,'Provider Rates'!$C$2:$C$15)</f>
        <v>275</v>
      </c>
      <c r="K133" s="6" cm="1">
        <f t="array" ref="K133">_xlfn.XLOOKUP($B133,CodeMinutesTable[[Code]:[Code]],CodeMinutesTable[[Minutes]:[Minutes]]) *_xlfn.XLOOKUP(K$1,'Provider Rates'!$A$2:$A$15,'Provider Rates'!$C$2:$C$15)</f>
        <v>250.00000000000003</v>
      </c>
      <c r="L133" s="6" cm="1">
        <f t="array" ref="L133">_xlfn.XLOOKUP($B133,CodeMinutesTable[[Code]:[Code]],CodeMinutesTable[[Minutes]:[Minutes]]) *_xlfn.XLOOKUP(L$1,'Provider Rates'!$A$2:$A$15,'Provider Rates'!$C$2:$C$15)</f>
        <v>225</v>
      </c>
      <c r="M133" s="6" cm="1">
        <f t="array" ref="M133">_xlfn.XLOOKUP($B133,CodeMinutesTable[[Code]:[Code]],CodeMinutesTable[[Minutes]:[Minutes]]) *_xlfn.XLOOKUP(M$1,'Provider Rates'!$A$2:$A$15,'Provider Rates'!$C$2:$C$15)</f>
        <v>200</v>
      </c>
      <c r="N133" s="6" cm="1">
        <f t="array" ref="N133">_xlfn.XLOOKUP($B133,CodeMinutesTable[[Code]:[Code]],CodeMinutesTable[[Minutes]:[Minutes]]) *_xlfn.XLOOKUP(N$1,'Provider Rates'!$A$2:$A$15,'Provider Rates'!$C$2:$C$15)</f>
        <v>175</v>
      </c>
      <c r="O133" s="6" cm="1">
        <f t="array" ref="O133">_xlfn.XLOOKUP($B133,CodeMinutesTable[[Code]:[Code]],CodeMinutesTable[[Minutes]:[Minutes]]) *_xlfn.XLOOKUP(O$1,'Provider Rates'!$A$2:$A$15,'Provider Rates'!$C$2:$C$15)</f>
        <v>150</v>
      </c>
      <c r="P133" s="6" cm="1">
        <f t="array" ref="P133">_xlfn.XLOOKUP($B133,CodeMinutesTable[[Code]:[Code]],CodeMinutesTable[[Minutes]:[Minutes]]) *_xlfn.XLOOKUP(P$1,'Provider Rates'!$A$2:$A$15,'Provider Rates'!$C$2:$C$15)</f>
        <v>100</v>
      </c>
      <c r="Q133" s="6">
        <f>VLOOKUP($B133, CodeMinutesTable[[Code]:[Minutes]], 3, FALSE) * VLOOKUP(Q$1, ProviderRatesTable[], 3, FALSE)</f>
        <v>75</v>
      </c>
    </row>
    <row r="134" spans="1:17" x14ac:dyDescent="0.25">
      <c r="A134" s="3" t="str">
        <f>INDEX(CodeMinutesTable[Frequently Used],MATCH(CodeRatesTable[[#This Row],[Billing Code]],CodeMinutesTable[Code],0))</f>
        <v>Yes</v>
      </c>
      <c r="B134" s="3" t="s">
        <v>302</v>
      </c>
      <c r="C134" t="s">
        <v>303</v>
      </c>
      <c r="D134" s="6">
        <f>VLOOKUP($B134, CodeMinutesTable[[Code]:[Minutes]], 3, FALSE) * VLOOKUP(D$1, ProviderRatesTable[], 3, FALSE)</f>
        <v>425</v>
      </c>
      <c r="E134" s="6">
        <f>VLOOKUP($B134, CodeMinutesTable[[Code]:[Minutes]], 3, FALSE) * VLOOKUP(E$1, ProviderRatesTable[], 3, FALSE)</f>
        <v>400</v>
      </c>
      <c r="F134" s="6">
        <f>VLOOKUP($B134, CodeMinutesTable[[Code]:[Minutes]], 3, FALSE) * VLOOKUP(F$1, ProviderRatesTable[], 3, FALSE)</f>
        <v>375</v>
      </c>
      <c r="G134" s="6">
        <f>VLOOKUP($B134, CodeMinutesTable[[Code]:[Minutes]], 3, FALSE) * VLOOKUP(G$1, ProviderRatesTable[], 3, FALSE)</f>
        <v>350</v>
      </c>
      <c r="H134" s="6">
        <f>VLOOKUP($B134, CodeMinutesTable[[Code]:[Minutes]], 3, FALSE) * VLOOKUP(H$1, ProviderRatesTable[], 3, FALSE)</f>
        <v>325</v>
      </c>
      <c r="I134" s="6">
        <f>VLOOKUP($B134, CodeMinutesTable[[Code]:[Minutes]], 3, FALSE) * VLOOKUP(I$1, ProviderRatesTable[], 3, FALSE)</f>
        <v>300</v>
      </c>
      <c r="J134" s="6">
        <f>VLOOKUP($B134, CodeMinutesTable[[Code]:[Minutes]], 3, FALSE) * VLOOKUP(J$1, ProviderRatesTable[], 3, FALSE)</f>
        <v>275</v>
      </c>
      <c r="K134" s="6">
        <f>VLOOKUP($B134, CodeMinutesTable[[Code]:[Minutes]], 3, FALSE) * VLOOKUP(K$1, ProviderRatesTable[], 3, FALSE)</f>
        <v>250.00000000000003</v>
      </c>
      <c r="L134" s="6">
        <f>VLOOKUP($B134, CodeMinutesTable[[Code]:[Minutes]], 3, FALSE) * VLOOKUP(L$1, ProviderRatesTable[], 3, FALSE)</f>
        <v>225</v>
      </c>
      <c r="M134" s="6">
        <f>VLOOKUP($B134, CodeMinutesTable[[Code]:[Minutes]], 3, FALSE) * VLOOKUP(M$1, ProviderRatesTable[], 3, FALSE)</f>
        <v>200</v>
      </c>
      <c r="N134" s="6">
        <f>VLOOKUP($B134, CodeMinutesTable[[Code]:[Minutes]], 3, FALSE) * VLOOKUP(N$1, ProviderRatesTable[], 3, FALSE)</f>
        <v>175</v>
      </c>
      <c r="O134" s="6">
        <f>VLOOKUP($B134, CodeMinutesTable[[Code]:[Minutes]], 3, FALSE) * VLOOKUP(O$1, ProviderRatesTable[], 3, FALSE)</f>
        <v>150</v>
      </c>
      <c r="P134" s="6">
        <f>VLOOKUP($B134, CodeMinutesTable[[Code]:[Minutes]], 3, FALSE) * VLOOKUP(P$1, ProviderRatesTable[], 3, FALSE)</f>
        <v>100</v>
      </c>
      <c r="Q134" s="6">
        <f>VLOOKUP($B134, CodeMinutesTable[[Code]:[Minutes]], 3, FALSE) * VLOOKUP(Q$1, ProviderRatesTable[], 3, FALSE)</f>
        <v>75</v>
      </c>
    </row>
    <row r="135" spans="1:17" x14ac:dyDescent="0.25">
      <c r="A135" s="3" t="str">
        <f>INDEX(CodeMinutesTable[Frequently Used],MATCH(CodeRatesTable[[#This Row],[Billing Code]],CodeMinutesTable[Code],0))</f>
        <v>Yes</v>
      </c>
      <c r="B135" s="3" t="s">
        <v>304</v>
      </c>
      <c r="C135" t="s">
        <v>305</v>
      </c>
      <c r="D135" s="6">
        <f>VLOOKUP($B135, CodeMinutesTable[[Code]:[Minutes]], 3, FALSE) * VLOOKUP(D$1, ProviderRatesTable[], 3, FALSE)</f>
        <v>425</v>
      </c>
      <c r="E135" s="6">
        <f>VLOOKUP($B135, CodeMinutesTable[[Code]:[Minutes]], 3, FALSE) * VLOOKUP(E$1, ProviderRatesTable[], 3, FALSE)</f>
        <v>400</v>
      </c>
      <c r="F135" s="6">
        <f>VLOOKUP($B135, CodeMinutesTable[[Code]:[Minutes]], 3, FALSE) * VLOOKUP(F$1, ProviderRatesTable[], 3, FALSE)</f>
        <v>375</v>
      </c>
      <c r="G135" s="6">
        <f>VLOOKUP($B135, CodeMinutesTable[[Code]:[Minutes]], 3, FALSE) * VLOOKUP(G$1, ProviderRatesTable[], 3, FALSE)</f>
        <v>350</v>
      </c>
      <c r="H135" s="6">
        <f>VLOOKUP($B135, CodeMinutesTable[[Code]:[Minutes]], 3, FALSE) * VLOOKUP(H$1, ProviderRatesTable[], 3, FALSE)</f>
        <v>325</v>
      </c>
      <c r="I135" s="6">
        <f>VLOOKUP($B135, CodeMinutesTable[[Code]:[Minutes]], 3, FALSE) * VLOOKUP(I$1, ProviderRatesTable[], 3, FALSE)</f>
        <v>300</v>
      </c>
      <c r="J135" s="6">
        <f>VLOOKUP($B135, CodeMinutesTable[[Code]:[Minutes]], 3, FALSE) * VLOOKUP(J$1, ProviderRatesTable[], 3, FALSE)</f>
        <v>275</v>
      </c>
      <c r="K135" s="6">
        <f>VLOOKUP($B135, CodeMinutesTable[[Code]:[Minutes]], 3, FALSE) * VLOOKUP(K$1, ProviderRatesTable[], 3, FALSE)</f>
        <v>250.00000000000003</v>
      </c>
      <c r="L135" s="6">
        <f>VLOOKUP($B135, CodeMinutesTable[[Code]:[Minutes]], 3, FALSE) * VLOOKUP(L$1, ProviderRatesTable[], 3, FALSE)</f>
        <v>225</v>
      </c>
      <c r="M135" s="6">
        <f>VLOOKUP($B135, CodeMinutesTable[[Code]:[Minutes]], 3, FALSE) * VLOOKUP(M$1, ProviderRatesTable[], 3, FALSE)</f>
        <v>200</v>
      </c>
      <c r="N135" s="6">
        <f>VLOOKUP($B135, CodeMinutesTable[[Code]:[Minutes]], 3, FALSE) * VLOOKUP(N$1, ProviderRatesTable[], 3, FALSE)</f>
        <v>175</v>
      </c>
      <c r="O135" s="6">
        <f>VLOOKUP($B135, CodeMinutesTable[[Code]:[Minutes]], 3, FALSE) * VLOOKUP(O$1, ProviderRatesTable[], 3, FALSE)</f>
        <v>150</v>
      </c>
      <c r="P135" s="6">
        <f>VLOOKUP($B135, CodeMinutesTable[[Code]:[Minutes]], 3, FALSE) * VLOOKUP(P$1, ProviderRatesTable[], 3, FALSE)</f>
        <v>100</v>
      </c>
      <c r="Q135" s="6">
        <f>VLOOKUP($B135, CodeMinutesTable[[Code]:[Minutes]], 3, FALSE) * VLOOKUP(Q$1, ProviderRatesTable[], 3, FALSE)</f>
        <v>75</v>
      </c>
    </row>
    <row r="136" spans="1:17" x14ac:dyDescent="0.25">
      <c r="A136" s="3" t="str">
        <f>INDEX(CodeMinutesTable[Frequently Used],MATCH(CodeRatesTable[[#This Row],[Billing Code]],CodeMinutesTable[Code],0))</f>
        <v>Yes</v>
      </c>
      <c r="B136" s="3" t="s">
        <v>306</v>
      </c>
      <c r="C136" t="s">
        <v>307</v>
      </c>
      <c r="D136" s="6">
        <f>VLOOKUP($B136, CodeMinutesTable[[Code]:[Minutes]], 3, FALSE) * VLOOKUP(D$1, ProviderRatesTable[], 3, FALSE)</f>
        <v>425</v>
      </c>
      <c r="E136" s="6">
        <f>VLOOKUP($B136, CodeMinutesTable[[Code]:[Minutes]], 3, FALSE) * VLOOKUP(E$1, ProviderRatesTable[], 3, FALSE)</f>
        <v>400</v>
      </c>
      <c r="F136" s="6">
        <f>VLOOKUP($B136, CodeMinutesTable[[Code]:[Minutes]], 3, FALSE) * VLOOKUP(F$1, ProviderRatesTable[], 3, FALSE)</f>
        <v>375</v>
      </c>
      <c r="G136" s="6">
        <f>VLOOKUP($B136, CodeMinutesTable[[Code]:[Minutes]], 3, FALSE) * VLOOKUP(G$1, ProviderRatesTable[], 3, FALSE)</f>
        <v>350</v>
      </c>
      <c r="H136" s="6">
        <f>VLOOKUP($B136, CodeMinutesTable[[Code]:[Minutes]], 3, FALSE) * VLOOKUP(H$1, ProviderRatesTable[], 3, FALSE)</f>
        <v>325</v>
      </c>
      <c r="I136" s="6">
        <f>VLOOKUP($B136, CodeMinutesTable[[Code]:[Minutes]], 3, FALSE) * VLOOKUP(I$1, ProviderRatesTable[], 3, FALSE)</f>
        <v>300</v>
      </c>
      <c r="J136" s="6">
        <f>VLOOKUP($B136, CodeMinutesTable[[Code]:[Minutes]], 3, FALSE) * VLOOKUP(J$1, ProviderRatesTable[], 3, FALSE)</f>
        <v>275</v>
      </c>
      <c r="K136" s="6">
        <f>VLOOKUP($B136, CodeMinutesTable[[Code]:[Minutes]], 3, FALSE) * VLOOKUP(K$1, ProviderRatesTable[], 3, FALSE)</f>
        <v>250.00000000000003</v>
      </c>
      <c r="L136" s="6">
        <f>VLOOKUP($B136, CodeMinutesTable[[Code]:[Minutes]], 3, FALSE) * VLOOKUP(L$1, ProviderRatesTable[], 3, FALSE)</f>
        <v>225</v>
      </c>
      <c r="M136" s="6">
        <f>VLOOKUP($B136, CodeMinutesTable[[Code]:[Minutes]], 3, FALSE) * VLOOKUP(M$1, ProviderRatesTable[], 3, FALSE)</f>
        <v>200</v>
      </c>
      <c r="N136" s="6">
        <f>VLOOKUP($B136, CodeMinutesTable[[Code]:[Minutes]], 3, FALSE) * VLOOKUP(N$1, ProviderRatesTable[], 3, FALSE)</f>
        <v>175</v>
      </c>
      <c r="O136" s="6">
        <f>VLOOKUP($B136, CodeMinutesTable[[Code]:[Minutes]], 3, FALSE) * VLOOKUP(O$1, ProviderRatesTable[], 3, FALSE)</f>
        <v>150</v>
      </c>
      <c r="P136" s="6">
        <f>VLOOKUP($B136, CodeMinutesTable[[Code]:[Minutes]], 3, FALSE) * VLOOKUP(P$1, ProviderRatesTable[], 3, FALSE)</f>
        <v>100</v>
      </c>
      <c r="Q136" s="6">
        <f>VLOOKUP($B136, CodeMinutesTable[[Code]:[Minutes]], 3, FALSE) * VLOOKUP(Q$1, ProviderRatesTable[], 3, FALSE)</f>
        <v>75</v>
      </c>
    </row>
    <row r="137" spans="1:17" hidden="1" x14ac:dyDescent="0.25">
      <c r="A137" s="3" t="str">
        <f>INDEX(CodeMinutesTable[Frequently Used],MATCH(CodeRatesTable[[#This Row],[Billing Code]],CodeMinutesTable[Code],0))</f>
        <v>No</v>
      </c>
      <c r="B137" s="3" t="s">
        <v>308</v>
      </c>
      <c r="C137" t="s">
        <v>309</v>
      </c>
      <c r="D137" s="6">
        <f>VLOOKUP($B137, CodeMinutesTable[[Code]:[Minutes]], 3, FALSE) * VLOOKUP(D$1, ProviderRatesTable[], 3, FALSE)</f>
        <v>425</v>
      </c>
      <c r="E137" s="6" cm="1">
        <f t="array" ref="E137">_xlfn.XLOOKUP($B137,CodeMinutesTable[[Code]:[Code]],CodeMinutesTable[[Minutes]:[Minutes]]) *_xlfn.XLOOKUP(E$1,'Provider Rates'!$A$2:$A$15,'Provider Rates'!$C$2:$C$15)</f>
        <v>400</v>
      </c>
      <c r="F137" s="6" cm="1">
        <f t="array" ref="F137">_xlfn.XLOOKUP($B137,CodeMinutesTable[[Code]:[Code]],CodeMinutesTable[[Minutes]:[Minutes]]) *_xlfn.XLOOKUP(F$1,'Provider Rates'!$A$2:$A$15,'Provider Rates'!$C$2:$C$15)</f>
        <v>375</v>
      </c>
      <c r="G137" s="6" cm="1">
        <f t="array" ref="G137">_xlfn.XLOOKUP($B137,CodeMinutesTable[[Code]:[Code]],CodeMinutesTable[[Minutes]:[Minutes]]) *_xlfn.XLOOKUP(G$1,'Provider Rates'!$A$2:$A$15,'Provider Rates'!$C$2:$C$15)</f>
        <v>350</v>
      </c>
      <c r="H137" s="6" cm="1">
        <f t="array" ref="H137">_xlfn.XLOOKUP($B137,CodeMinutesTable[[Code]:[Code]],CodeMinutesTable[[Minutes]:[Minutes]]) *_xlfn.XLOOKUP(H$1,'Provider Rates'!$A$2:$A$15,'Provider Rates'!$C$2:$C$15)</f>
        <v>325</v>
      </c>
      <c r="I137" s="6" cm="1">
        <f t="array" ref="I137">_xlfn.XLOOKUP($B137,CodeMinutesTable[[Code]:[Code]],CodeMinutesTable[[Minutes]:[Minutes]]) *_xlfn.XLOOKUP(I$1,'Provider Rates'!$A$2:$A$15,'Provider Rates'!$C$2:$C$15)</f>
        <v>300</v>
      </c>
      <c r="J137" s="6" cm="1">
        <f t="array" ref="J137">_xlfn.XLOOKUP($B137,CodeMinutesTable[[Code]:[Code]],CodeMinutesTable[[Minutes]:[Minutes]]) *_xlfn.XLOOKUP(J$1,'Provider Rates'!$A$2:$A$15,'Provider Rates'!$C$2:$C$15)</f>
        <v>275</v>
      </c>
      <c r="K137" s="6" cm="1">
        <f t="array" ref="K137">_xlfn.XLOOKUP($B137,CodeMinutesTable[[Code]:[Code]],CodeMinutesTable[[Minutes]:[Minutes]]) *_xlfn.XLOOKUP(K$1,'Provider Rates'!$A$2:$A$15,'Provider Rates'!$C$2:$C$15)</f>
        <v>250.00000000000003</v>
      </c>
      <c r="L137" s="6" cm="1">
        <f t="array" ref="L137">_xlfn.XLOOKUP($B137,CodeMinutesTable[[Code]:[Code]],CodeMinutesTable[[Minutes]:[Minutes]]) *_xlfn.XLOOKUP(L$1,'Provider Rates'!$A$2:$A$15,'Provider Rates'!$C$2:$C$15)</f>
        <v>225</v>
      </c>
      <c r="M137" s="6" cm="1">
        <f t="array" ref="M137">_xlfn.XLOOKUP($B137,CodeMinutesTable[[Code]:[Code]],CodeMinutesTable[[Minutes]:[Minutes]]) *_xlfn.XLOOKUP(M$1,'Provider Rates'!$A$2:$A$15,'Provider Rates'!$C$2:$C$15)</f>
        <v>200</v>
      </c>
      <c r="N137" s="6" cm="1">
        <f t="array" ref="N137">_xlfn.XLOOKUP($B137,CodeMinutesTable[[Code]:[Code]],CodeMinutesTable[[Minutes]:[Minutes]]) *_xlfn.XLOOKUP(N$1,'Provider Rates'!$A$2:$A$15,'Provider Rates'!$C$2:$C$15)</f>
        <v>175</v>
      </c>
      <c r="O137" s="6" cm="1">
        <f t="array" ref="O137">_xlfn.XLOOKUP($B137,CodeMinutesTable[[Code]:[Code]],CodeMinutesTable[[Minutes]:[Minutes]]) *_xlfn.XLOOKUP(O$1,'Provider Rates'!$A$2:$A$15,'Provider Rates'!$C$2:$C$15)</f>
        <v>150</v>
      </c>
      <c r="P137" s="6" cm="1">
        <f t="array" ref="P137">_xlfn.XLOOKUP($B137,CodeMinutesTable[[Code]:[Code]],CodeMinutesTable[[Minutes]:[Minutes]]) *_xlfn.XLOOKUP(P$1,'Provider Rates'!$A$2:$A$15,'Provider Rates'!$C$2:$C$15)</f>
        <v>100</v>
      </c>
      <c r="Q137" s="6">
        <f>VLOOKUP($B137, CodeMinutesTable[[Code]:[Minutes]], 3, FALSE) * VLOOKUP(Q$1, ProviderRatesTable[], 3, FALSE)</f>
        <v>75</v>
      </c>
    </row>
    <row r="138" spans="1:17" hidden="1" x14ac:dyDescent="0.25">
      <c r="A138" s="3" t="str">
        <f>INDEX(CodeMinutesTable[Frequently Used],MATCH(CodeRatesTable[[#This Row],[Billing Code]],CodeMinutesTable[Code],0))</f>
        <v>No</v>
      </c>
      <c r="B138" s="3" t="s">
        <v>310</v>
      </c>
      <c r="C138" t="s">
        <v>311</v>
      </c>
      <c r="D138" s="6">
        <f>VLOOKUP($B138, CodeMinutesTable[[Code]:[Minutes]], 3, FALSE) * VLOOKUP(D$1, ProviderRatesTable[], 3, FALSE)</f>
        <v>425</v>
      </c>
      <c r="E138" s="6" cm="1">
        <f t="array" ref="E138">_xlfn.XLOOKUP($B138,CodeMinutesTable[[Code]:[Code]],CodeMinutesTable[[Minutes]:[Minutes]]) *_xlfn.XLOOKUP(E$1,'Provider Rates'!$A$2:$A$15,'Provider Rates'!$C$2:$C$15)</f>
        <v>400</v>
      </c>
      <c r="F138" s="6" cm="1">
        <f t="array" ref="F138">_xlfn.XLOOKUP($B138,CodeMinutesTable[[Code]:[Code]],CodeMinutesTable[[Minutes]:[Minutes]]) *_xlfn.XLOOKUP(F$1,'Provider Rates'!$A$2:$A$15,'Provider Rates'!$C$2:$C$15)</f>
        <v>375</v>
      </c>
      <c r="G138" s="6" cm="1">
        <f t="array" ref="G138">_xlfn.XLOOKUP($B138,CodeMinutesTable[[Code]:[Code]],CodeMinutesTable[[Minutes]:[Minutes]]) *_xlfn.XLOOKUP(G$1,'Provider Rates'!$A$2:$A$15,'Provider Rates'!$C$2:$C$15)</f>
        <v>350</v>
      </c>
      <c r="H138" s="6" cm="1">
        <f t="array" ref="H138">_xlfn.XLOOKUP($B138,CodeMinutesTable[[Code]:[Code]],CodeMinutesTable[[Minutes]:[Minutes]]) *_xlfn.XLOOKUP(H$1,'Provider Rates'!$A$2:$A$15,'Provider Rates'!$C$2:$C$15)</f>
        <v>325</v>
      </c>
      <c r="I138" s="6" cm="1">
        <f t="array" ref="I138">_xlfn.XLOOKUP($B138,CodeMinutesTable[[Code]:[Code]],CodeMinutesTable[[Minutes]:[Minutes]]) *_xlfn.XLOOKUP(I$1,'Provider Rates'!$A$2:$A$15,'Provider Rates'!$C$2:$C$15)</f>
        <v>300</v>
      </c>
      <c r="J138" s="6" cm="1">
        <f t="array" ref="J138">_xlfn.XLOOKUP($B138,CodeMinutesTable[[Code]:[Code]],CodeMinutesTable[[Minutes]:[Minutes]]) *_xlfn.XLOOKUP(J$1,'Provider Rates'!$A$2:$A$15,'Provider Rates'!$C$2:$C$15)</f>
        <v>275</v>
      </c>
      <c r="K138" s="6" cm="1">
        <f t="array" ref="K138">_xlfn.XLOOKUP($B138,CodeMinutesTable[[Code]:[Code]],CodeMinutesTable[[Minutes]:[Minutes]]) *_xlfn.XLOOKUP(K$1,'Provider Rates'!$A$2:$A$15,'Provider Rates'!$C$2:$C$15)</f>
        <v>250.00000000000003</v>
      </c>
      <c r="L138" s="6" cm="1">
        <f t="array" ref="L138">_xlfn.XLOOKUP($B138,CodeMinutesTable[[Code]:[Code]],CodeMinutesTable[[Minutes]:[Minutes]]) *_xlfn.XLOOKUP(L$1,'Provider Rates'!$A$2:$A$15,'Provider Rates'!$C$2:$C$15)</f>
        <v>225</v>
      </c>
      <c r="M138" s="6" cm="1">
        <f t="array" ref="M138">_xlfn.XLOOKUP($B138,CodeMinutesTable[[Code]:[Code]],CodeMinutesTable[[Minutes]:[Minutes]]) *_xlfn.XLOOKUP(M$1,'Provider Rates'!$A$2:$A$15,'Provider Rates'!$C$2:$C$15)</f>
        <v>200</v>
      </c>
      <c r="N138" s="6" cm="1">
        <f t="array" ref="N138">_xlfn.XLOOKUP($B138,CodeMinutesTable[[Code]:[Code]],CodeMinutesTable[[Minutes]:[Minutes]]) *_xlfn.XLOOKUP(N$1,'Provider Rates'!$A$2:$A$15,'Provider Rates'!$C$2:$C$15)</f>
        <v>175</v>
      </c>
      <c r="O138" s="6" cm="1">
        <f t="array" ref="O138">_xlfn.XLOOKUP($B138,CodeMinutesTable[[Code]:[Code]],CodeMinutesTable[[Minutes]:[Minutes]]) *_xlfn.XLOOKUP(O$1,'Provider Rates'!$A$2:$A$15,'Provider Rates'!$C$2:$C$15)</f>
        <v>150</v>
      </c>
      <c r="P138" s="6" cm="1">
        <f t="array" ref="P138">_xlfn.XLOOKUP($B138,CodeMinutesTable[[Code]:[Code]],CodeMinutesTable[[Minutes]:[Minutes]]) *_xlfn.XLOOKUP(P$1,'Provider Rates'!$A$2:$A$15,'Provider Rates'!$C$2:$C$15)</f>
        <v>100</v>
      </c>
      <c r="Q138" s="6">
        <f>VLOOKUP($B138, CodeMinutesTable[[Code]:[Minutes]], 3, FALSE) * VLOOKUP(Q$1, ProviderRatesTable[], 3, FALSE)</f>
        <v>75</v>
      </c>
    </row>
    <row r="139" spans="1:17" hidden="1" x14ac:dyDescent="0.25">
      <c r="A139" s="3" t="str">
        <f>INDEX(CodeMinutesTable[Frequently Used],MATCH(CodeRatesTable[[#This Row],[Billing Code]],CodeMinutesTable[Code],0))</f>
        <v>No</v>
      </c>
      <c r="B139" s="3" t="s">
        <v>312</v>
      </c>
      <c r="C139" t="s">
        <v>313</v>
      </c>
      <c r="D139" s="6">
        <f>VLOOKUP($B139, CodeMinutesTable[[Code]:[Minutes]], 3, FALSE) * VLOOKUP(D$1, ProviderRatesTable[], 3, FALSE)</f>
        <v>425</v>
      </c>
      <c r="E139" s="6" cm="1">
        <f t="array" ref="E139">_xlfn.XLOOKUP($B139,CodeMinutesTable[[Code]:[Code]],CodeMinutesTable[[Minutes]:[Minutes]]) *_xlfn.XLOOKUP(E$1,'Provider Rates'!$A$2:$A$15,'Provider Rates'!$C$2:$C$15)</f>
        <v>400</v>
      </c>
      <c r="F139" s="6" cm="1">
        <f t="array" ref="F139">_xlfn.XLOOKUP($B139,CodeMinutesTable[[Code]:[Code]],CodeMinutesTable[[Minutes]:[Minutes]]) *_xlfn.XLOOKUP(F$1,'Provider Rates'!$A$2:$A$15,'Provider Rates'!$C$2:$C$15)</f>
        <v>375</v>
      </c>
      <c r="G139" s="6" cm="1">
        <f t="array" ref="G139">_xlfn.XLOOKUP($B139,CodeMinutesTable[[Code]:[Code]],CodeMinutesTable[[Minutes]:[Minutes]]) *_xlfn.XLOOKUP(G$1,'Provider Rates'!$A$2:$A$15,'Provider Rates'!$C$2:$C$15)</f>
        <v>350</v>
      </c>
      <c r="H139" s="6" cm="1">
        <f t="array" ref="H139">_xlfn.XLOOKUP($B139,CodeMinutesTable[[Code]:[Code]],CodeMinutesTable[[Minutes]:[Minutes]]) *_xlfn.XLOOKUP(H$1,'Provider Rates'!$A$2:$A$15,'Provider Rates'!$C$2:$C$15)</f>
        <v>325</v>
      </c>
      <c r="I139" s="6" cm="1">
        <f t="array" ref="I139">_xlfn.XLOOKUP($B139,CodeMinutesTable[[Code]:[Code]],CodeMinutesTable[[Minutes]:[Minutes]]) *_xlfn.XLOOKUP(I$1,'Provider Rates'!$A$2:$A$15,'Provider Rates'!$C$2:$C$15)</f>
        <v>300</v>
      </c>
      <c r="J139" s="6" cm="1">
        <f t="array" ref="J139">_xlfn.XLOOKUP($B139,CodeMinutesTable[[Code]:[Code]],CodeMinutesTable[[Minutes]:[Minutes]]) *_xlfn.XLOOKUP(J$1,'Provider Rates'!$A$2:$A$15,'Provider Rates'!$C$2:$C$15)</f>
        <v>275</v>
      </c>
      <c r="K139" s="6" cm="1">
        <f t="array" ref="K139">_xlfn.XLOOKUP($B139,CodeMinutesTable[[Code]:[Code]],CodeMinutesTable[[Minutes]:[Minutes]]) *_xlfn.XLOOKUP(K$1,'Provider Rates'!$A$2:$A$15,'Provider Rates'!$C$2:$C$15)</f>
        <v>250.00000000000003</v>
      </c>
      <c r="L139" s="6" cm="1">
        <f t="array" ref="L139">_xlfn.XLOOKUP($B139,CodeMinutesTable[[Code]:[Code]],CodeMinutesTable[[Minutes]:[Minutes]]) *_xlfn.XLOOKUP(L$1,'Provider Rates'!$A$2:$A$15,'Provider Rates'!$C$2:$C$15)</f>
        <v>225</v>
      </c>
      <c r="M139" s="6" cm="1">
        <f t="array" ref="M139">_xlfn.XLOOKUP($B139,CodeMinutesTable[[Code]:[Code]],CodeMinutesTable[[Minutes]:[Minutes]]) *_xlfn.XLOOKUP(M$1,'Provider Rates'!$A$2:$A$15,'Provider Rates'!$C$2:$C$15)</f>
        <v>200</v>
      </c>
      <c r="N139" s="6" cm="1">
        <f t="array" ref="N139">_xlfn.XLOOKUP($B139,CodeMinutesTable[[Code]:[Code]],CodeMinutesTable[[Minutes]:[Minutes]]) *_xlfn.XLOOKUP(N$1,'Provider Rates'!$A$2:$A$15,'Provider Rates'!$C$2:$C$15)</f>
        <v>175</v>
      </c>
      <c r="O139" s="6" cm="1">
        <f t="array" ref="O139">_xlfn.XLOOKUP($B139,CodeMinutesTable[[Code]:[Code]],CodeMinutesTable[[Minutes]:[Minutes]]) *_xlfn.XLOOKUP(O$1,'Provider Rates'!$A$2:$A$15,'Provider Rates'!$C$2:$C$15)</f>
        <v>150</v>
      </c>
      <c r="P139" s="6" cm="1">
        <f t="array" ref="P139">_xlfn.XLOOKUP($B139,CodeMinutesTable[[Code]:[Code]],CodeMinutesTable[[Minutes]:[Minutes]]) *_xlfn.XLOOKUP(P$1,'Provider Rates'!$A$2:$A$15,'Provider Rates'!$C$2:$C$15)</f>
        <v>100</v>
      </c>
      <c r="Q139" s="6">
        <f>VLOOKUP($B139, CodeMinutesTable[[Code]:[Minutes]], 3, FALSE) * VLOOKUP(Q$1, ProviderRatesTable[], 3, FALSE)</f>
        <v>75</v>
      </c>
    </row>
    <row r="140" spans="1:17" x14ac:dyDescent="0.25">
      <c r="A140" s="3" t="str">
        <f>INDEX(CodeMinutesTable[Frequently Used],MATCH(CodeRatesTable[[#This Row],[Billing Code]],CodeMinutesTable[Code],0))</f>
        <v>Yes</v>
      </c>
      <c r="B140" s="3" t="s">
        <v>314</v>
      </c>
      <c r="C140" t="s">
        <v>315</v>
      </c>
      <c r="D140" s="6">
        <f>VLOOKUP($B140, CodeMinutesTable[[Code]:[Minutes]], 3, FALSE) * VLOOKUP(D$1, ProviderRatesTable[], 3, FALSE)</f>
        <v>425</v>
      </c>
      <c r="E140" s="6" cm="1">
        <f t="array" ref="E140">_xlfn.XLOOKUP($B140,CodeMinutesTable[[Code]:[Code]],CodeMinutesTable[[Minutes]:[Minutes]]) *_xlfn.XLOOKUP(E$1,'Provider Rates'!$A$2:$A$15,'Provider Rates'!$C$2:$C$15)</f>
        <v>400</v>
      </c>
      <c r="F140" s="6" cm="1">
        <f t="array" ref="F140">_xlfn.XLOOKUP($B140,CodeMinutesTable[[Code]:[Code]],CodeMinutesTable[[Minutes]:[Minutes]]) *_xlfn.XLOOKUP(F$1,'Provider Rates'!$A$2:$A$15,'Provider Rates'!$C$2:$C$15)</f>
        <v>375</v>
      </c>
      <c r="G140" s="6" cm="1">
        <f t="array" ref="G140">_xlfn.XLOOKUP($B140,CodeMinutesTable[[Code]:[Code]],CodeMinutesTable[[Minutes]:[Minutes]]) *_xlfn.XLOOKUP(G$1,'Provider Rates'!$A$2:$A$15,'Provider Rates'!$C$2:$C$15)</f>
        <v>350</v>
      </c>
      <c r="H140" s="6" cm="1">
        <f t="array" ref="H140">_xlfn.XLOOKUP($B140,CodeMinutesTable[[Code]:[Code]],CodeMinutesTable[[Minutes]:[Minutes]]) *_xlfn.XLOOKUP(H$1,'Provider Rates'!$A$2:$A$15,'Provider Rates'!$C$2:$C$15)</f>
        <v>325</v>
      </c>
      <c r="I140" s="6" cm="1">
        <f t="array" ref="I140">_xlfn.XLOOKUP($B140,CodeMinutesTable[[Code]:[Code]],CodeMinutesTable[[Minutes]:[Minutes]]) *_xlfn.XLOOKUP(I$1,'Provider Rates'!$A$2:$A$15,'Provider Rates'!$C$2:$C$15)</f>
        <v>300</v>
      </c>
      <c r="J140" s="6" cm="1">
        <f t="array" ref="J140">_xlfn.XLOOKUP($B140,CodeMinutesTable[[Code]:[Code]],CodeMinutesTable[[Minutes]:[Minutes]]) *_xlfn.XLOOKUP(J$1,'Provider Rates'!$A$2:$A$15,'Provider Rates'!$C$2:$C$15)</f>
        <v>275</v>
      </c>
      <c r="K140" s="6" cm="1">
        <f t="array" ref="K140">_xlfn.XLOOKUP($B140,CodeMinutesTable[[Code]:[Code]],CodeMinutesTable[[Minutes]:[Minutes]]) *_xlfn.XLOOKUP(K$1,'Provider Rates'!$A$2:$A$15,'Provider Rates'!$C$2:$C$15)</f>
        <v>250.00000000000003</v>
      </c>
      <c r="L140" s="6" cm="1">
        <f t="array" ref="L140">_xlfn.XLOOKUP($B140,CodeMinutesTable[[Code]:[Code]],CodeMinutesTable[[Minutes]:[Minutes]]) *_xlfn.XLOOKUP(L$1,'Provider Rates'!$A$2:$A$15,'Provider Rates'!$C$2:$C$15)</f>
        <v>225</v>
      </c>
      <c r="M140" s="6" cm="1">
        <f t="array" ref="M140">_xlfn.XLOOKUP($B140,CodeMinutesTable[[Code]:[Code]],CodeMinutesTable[[Minutes]:[Minutes]]) *_xlfn.XLOOKUP(M$1,'Provider Rates'!$A$2:$A$15,'Provider Rates'!$C$2:$C$15)</f>
        <v>200</v>
      </c>
      <c r="N140" s="6" cm="1">
        <f t="array" ref="N140">_xlfn.XLOOKUP($B140,CodeMinutesTable[[Code]:[Code]],CodeMinutesTable[[Minutes]:[Minutes]]) *_xlfn.XLOOKUP(N$1,'Provider Rates'!$A$2:$A$15,'Provider Rates'!$C$2:$C$15)</f>
        <v>175</v>
      </c>
      <c r="O140" s="6" cm="1">
        <f t="array" ref="O140">_xlfn.XLOOKUP($B140,CodeMinutesTable[[Code]:[Code]],CodeMinutesTable[[Minutes]:[Minutes]]) *_xlfn.XLOOKUP(O$1,'Provider Rates'!$A$2:$A$15,'Provider Rates'!$C$2:$C$15)</f>
        <v>150</v>
      </c>
      <c r="P140" s="6" cm="1">
        <f t="array" ref="P140">_xlfn.XLOOKUP($B140,CodeMinutesTable[[Code]:[Code]],CodeMinutesTable[[Minutes]:[Minutes]]) *_xlfn.XLOOKUP(P$1,'Provider Rates'!$A$2:$A$15,'Provider Rates'!$C$2:$C$15)</f>
        <v>100</v>
      </c>
      <c r="Q140" s="6">
        <f>VLOOKUP($B140, CodeMinutesTable[[Code]:[Minutes]], 3, FALSE) * VLOOKUP(Q$1, ProviderRatesTable[], 3, FALSE)</f>
        <v>75</v>
      </c>
    </row>
  </sheetData>
  <pageMargins left="0.7" right="0.7" top="0.75" bottom="0.75" header="0.3" footer="0.3"/>
  <pageSetup orientation="portrait" horizontalDpi="300" verticalDpi="3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29631-AF4C-4467-8634-F88A437C361C}">
  <dimension ref="A1:G140"/>
  <sheetViews>
    <sheetView workbookViewId="0">
      <pane ySplit="1" topLeftCell="A122" activePane="bottomLeft" state="frozen"/>
      <selection pane="bottomLeft" sqref="A1:XFD1"/>
    </sheetView>
  </sheetViews>
  <sheetFormatPr defaultRowHeight="15" x14ac:dyDescent="0.25"/>
  <cols>
    <col min="1" max="1" width="10.7109375" style="5" customWidth="1"/>
    <col min="2" max="2" width="9.140625" customWidth="1"/>
    <col min="3" max="3" width="60.7109375" customWidth="1"/>
    <col min="5" max="5" width="10.140625" style="5" customWidth="1"/>
    <col min="7" max="7" width="13" style="5" bestFit="1" customWidth="1"/>
  </cols>
  <sheetData>
    <row r="1" spans="1:7" ht="45" customHeight="1" x14ac:dyDescent="0.25">
      <c r="A1" s="1" t="s">
        <v>23</v>
      </c>
      <c r="B1" s="1" t="s">
        <v>316</v>
      </c>
      <c r="C1" s="1" t="s">
        <v>317</v>
      </c>
      <c r="D1" s="1" t="s">
        <v>318</v>
      </c>
      <c r="E1"/>
      <c r="G1"/>
    </row>
    <row r="2" spans="1:7" x14ac:dyDescent="0.25">
      <c r="A2" s="5" t="s">
        <v>319</v>
      </c>
      <c r="B2" s="5" t="s">
        <v>39</v>
      </c>
      <c r="C2" s="7" t="s">
        <v>40</v>
      </c>
      <c r="D2" s="5">
        <v>15</v>
      </c>
      <c r="E2"/>
      <c r="G2"/>
    </row>
    <row r="3" spans="1:7" x14ac:dyDescent="0.25">
      <c r="A3" s="5" t="s">
        <v>319</v>
      </c>
      <c r="B3" s="5" t="s">
        <v>41</v>
      </c>
      <c r="C3" s="7" t="s">
        <v>42</v>
      </c>
      <c r="D3" s="5" t="s">
        <v>320</v>
      </c>
      <c r="E3"/>
      <c r="G3"/>
    </row>
    <row r="4" spans="1:7" x14ac:dyDescent="0.25">
      <c r="A4" s="5" t="s">
        <v>319</v>
      </c>
      <c r="B4" s="5" t="s">
        <v>43</v>
      </c>
      <c r="C4" s="7" t="s">
        <v>44</v>
      </c>
      <c r="D4" s="5" t="s">
        <v>320</v>
      </c>
      <c r="E4"/>
      <c r="G4"/>
    </row>
    <row r="5" spans="1:7" x14ac:dyDescent="0.25">
      <c r="A5" s="5" t="s">
        <v>319</v>
      </c>
      <c r="B5" s="5" t="s">
        <v>45</v>
      </c>
      <c r="C5" s="7" t="s">
        <v>46</v>
      </c>
      <c r="D5" s="5" t="s">
        <v>321</v>
      </c>
      <c r="E5"/>
      <c r="G5"/>
    </row>
    <row r="6" spans="1:7" x14ac:dyDescent="0.25">
      <c r="A6" s="5" t="s">
        <v>322</v>
      </c>
      <c r="B6" s="5" t="s">
        <v>47</v>
      </c>
      <c r="C6" s="7" t="s">
        <v>48</v>
      </c>
      <c r="D6" s="5" t="s">
        <v>321</v>
      </c>
      <c r="E6"/>
      <c r="G6"/>
    </row>
    <row r="7" spans="1:7" x14ac:dyDescent="0.25">
      <c r="A7" s="5" t="s">
        <v>319</v>
      </c>
      <c r="B7" s="5" t="s">
        <v>49</v>
      </c>
      <c r="C7" s="7" t="s">
        <v>50</v>
      </c>
      <c r="D7" s="5" t="s">
        <v>323</v>
      </c>
      <c r="E7"/>
      <c r="G7"/>
    </row>
    <row r="8" spans="1:7" x14ac:dyDescent="0.25">
      <c r="A8" s="5" t="s">
        <v>322</v>
      </c>
      <c r="B8" s="5" t="s">
        <v>51</v>
      </c>
      <c r="C8" s="7" t="s">
        <v>52</v>
      </c>
      <c r="D8" s="5" t="s">
        <v>323</v>
      </c>
      <c r="E8"/>
      <c r="G8"/>
    </row>
    <row r="9" spans="1:7" x14ac:dyDescent="0.25">
      <c r="A9" s="5" t="s">
        <v>319</v>
      </c>
      <c r="B9" s="5" t="s">
        <v>53</v>
      </c>
      <c r="C9" s="7" t="s">
        <v>54</v>
      </c>
      <c r="D9" s="5" t="s">
        <v>324</v>
      </c>
      <c r="E9"/>
      <c r="G9"/>
    </row>
    <row r="10" spans="1:7" x14ac:dyDescent="0.25">
      <c r="A10" s="5" t="s">
        <v>322</v>
      </c>
      <c r="B10" s="5" t="s">
        <v>55</v>
      </c>
      <c r="C10" s="7" t="s">
        <v>56</v>
      </c>
      <c r="D10" s="5" t="s">
        <v>324</v>
      </c>
      <c r="E10"/>
      <c r="G10"/>
    </row>
    <row r="11" spans="1:7" x14ac:dyDescent="0.25">
      <c r="A11" s="5" t="s">
        <v>319</v>
      </c>
      <c r="B11" s="5" t="s">
        <v>57</v>
      </c>
      <c r="C11" s="7" t="s">
        <v>58</v>
      </c>
      <c r="D11" s="5" t="s">
        <v>325</v>
      </c>
      <c r="E11"/>
      <c r="G11"/>
    </row>
    <row r="12" spans="1:7" x14ac:dyDescent="0.25">
      <c r="A12" s="5" t="s">
        <v>319</v>
      </c>
      <c r="B12" s="5" t="s">
        <v>59</v>
      </c>
      <c r="C12" s="7" t="s">
        <v>60</v>
      </c>
      <c r="D12" s="5" t="s">
        <v>321</v>
      </c>
      <c r="E12"/>
      <c r="G12"/>
    </row>
    <row r="13" spans="1:7" x14ac:dyDescent="0.25">
      <c r="A13" s="5" t="s">
        <v>322</v>
      </c>
      <c r="B13" s="5" t="s">
        <v>61</v>
      </c>
      <c r="C13" s="7" t="s">
        <v>62</v>
      </c>
      <c r="D13" s="5" t="s">
        <v>320</v>
      </c>
      <c r="E13"/>
      <c r="G13"/>
    </row>
    <row r="14" spans="1:7" x14ac:dyDescent="0.25">
      <c r="A14" s="5" t="s">
        <v>319</v>
      </c>
      <c r="B14" s="5" t="s">
        <v>63</v>
      </c>
      <c r="C14" s="7" t="s">
        <v>64</v>
      </c>
      <c r="D14" s="5" t="s">
        <v>326</v>
      </c>
      <c r="E14"/>
      <c r="G14"/>
    </row>
    <row r="15" spans="1:7" x14ac:dyDescent="0.25">
      <c r="A15" s="5" t="s">
        <v>319</v>
      </c>
      <c r="B15" s="5" t="s">
        <v>65</v>
      </c>
      <c r="C15" s="7" t="s">
        <v>66</v>
      </c>
      <c r="D15" s="5" t="s">
        <v>320</v>
      </c>
      <c r="E15"/>
      <c r="G15"/>
    </row>
    <row r="16" spans="1:7" x14ac:dyDescent="0.25">
      <c r="A16" s="5" t="s">
        <v>319</v>
      </c>
      <c r="B16" s="5" t="s">
        <v>67</v>
      </c>
      <c r="C16" s="7" t="s">
        <v>68</v>
      </c>
      <c r="D16" s="5" t="s">
        <v>320</v>
      </c>
      <c r="E16"/>
      <c r="G16"/>
    </row>
    <row r="17" spans="1:7" x14ac:dyDescent="0.25">
      <c r="A17" s="5" t="s">
        <v>322</v>
      </c>
      <c r="B17" s="5" t="s">
        <v>69</v>
      </c>
      <c r="C17" s="7" t="s">
        <v>70</v>
      </c>
      <c r="D17" s="5" t="s">
        <v>320</v>
      </c>
      <c r="E17"/>
      <c r="G17"/>
    </row>
    <row r="18" spans="1:7" x14ac:dyDescent="0.25">
      <c r="A18" s="5" t="s">
        <v>322</v>
      </c>
      <c r="B18" s="5" t="s">
        <v>71</v>
      </c>
      <c r="C18" s="7" t="s">
        <v>72</v>
      </c>
      <c r="D18" s="5" t="s">
        <v>320</v>
      </c>
      <c r="E18"/>
      <c r="G18"/>
    </row>
    <row r="19" spans="1:7" x14ac:dyDescent="0.25">
      <c r="A19" s="5" t="s">
        <v>322</v>
      </c>
      <c r="B19" s="5" t="s">
        <v>73</v>
      </c>
      <c r="C19" s="7" t="s">
        <v>74</v>
      </c>
      <c r="D19" s="5" t="s">
        <v>320</v>
      </c>
      <c r="E19"/>
      <c r="G19"/>
    </row>
    <row r="20" spans="1:7" x14ac:dyDescent="0.25">
      <c r="A20" s="5" t="s">
        <v>322</v>
      </c>
      <c r="B20" s="5" t="s">
        <v>75</v>
      </c>
      <c r="C20" s="7" t="s">
        <v>76</v>
      </c>
      <c r="D20" s="5" t="s">
        <v>320</v>
      </c>
      <c r="E20"/>
      <c r="G20"/>
    </row>
    <row r="21" spans="1:7" x14ac:dyDescent="0.25">
      <c r="A21" s="5" t="s">
        <v>322</v>
      </c>
      <c r="B21" s="5" t="s">
        <v>77</v>
      </c>
      <c r="C21" s="7" t="s">
        <v>78</v>
      </c>
      <c r="D21" s="5" t="s">
        <v>320</v>
      </c>
      <c r="E21"/>
      <c r="G21"/>
    </row>
    <row r="22" spans="1:7" x14ac:dyDescent="0.25">
      <c r="A22" s="5" t="s">
        <v>322</v>
      </c>
      <c r="B22" s="5" t="s">
        <v>79</v>
      </c>
      <c r="C22" s="7" t="s">
        <v>80</v>
      </c>
      <c r="D22" s="5" t="s">
        <v>324</v>
      </c>
      <c r="E22"/>
      <c r="G22"/>
    </row>
    <row r="23" spans="1:7" x14ac:dyDescent="0.25">
      <c r="A23" s="5" t="s">
        <v>319</v>
      </c>
      <c r="B23" s="5" t="s">
        <v>81</v>
      </c>
      <c r="C23" s="7" t="s">
        <v>82</v>
      </c>
      <c r="D23" s="5" t="s">
        <v>320</v>
      </c>
      <c r="E23"/>
      <c r="G23"/>
    </row>
    <row r="24" spans="1:7" x14ac:dyDescent="0.25">
      <c r="A24" s="5" t="s">
        <v>319</v>
      </c>
      <c r="B24" s="5" t="s">
        <v>83</v>
      </c>
      <c r="C24" s="7" t="s">
        <v>84</v>
      </c>
      <c r="D24" s="5" t="s">
        <v>320</v>
      </c>
      <c r="E24"/>
      <c r="G24"/>
    </row>
    <row r="25" spans="1:7" x14ac:dyDescent="0.25">
      <c r="A25" s="5" t="s">
        <v>322</v>
      </c>
      <c r="B25" s="5" t="s">
        <v>85</v>
      </c>
      <c r="C25" s="7" t="s">
        <v>86</v>
      </c>
      <c r="D25" s="5" t="s">
        <v>324</v>
      </c>
      <c r="E25"/>
      <c r="G25"/>
    </row>
    <row r="26" spans="1:7" x14ac:dyDescent="0.25">
      <c r="A26" s="5" t="s">
        <v>322</v>
      </c>
      <c r="B26" s="5" t="s">
        <v>87</v>
      </c>
      <c r="C26" s="7" t="s">
        <v>88</v>
      </c>
      <c r="D26" s="5" t="s">
        <v>320</v>
      </c>
      <c r="E26"/>
      <c r="G26"/>
    </row>
    <row r="27" spans="1:7" x14ac:dyDescent="0.25">
      <c r="A27" s="5" t="s">
        <v>322</v>
      </c>
      <c r="B27" s="5" t="s">
        <v>89</v>
      </c>
      <c r="C27" s="7" t="s">
        <v>90</v>
      </c>
      <c r="D27" s="5" t="s">
        <v>324</v>
      </c>
      <c r="E27"/>
      <c r="G27"/>
    </row>
    <row r="28" spans="1:7" x14ac:dyDescent="0.25">
      <c r="A28" s="5" t="s">
        <v>322</v>
      </c>
      <c r="B28" s="5" t="s">
        <v>91</v>
      </c>
      <c r="C28" s="7" t="s">
        <v>92</v>
      </c>
      <c r="D28" s="5" t="s">
        <v>321</v>
      </c>
      <c r="E28"/>
      <c r="G28"/>
    </row>
    <row r="29" spans="1:7" x14ac:dyDescent="0.25">
      <c r="A29" s="5" t="s">
        <v>322</v>
      </c>
      <c r="B29" s="5" t="s">
        <v>93</v>
      </c>
      <c r="C29" s="7" t="s">
        <v>94</v>
      </c>
      <c r="D29" s="5" t="s">
        <v>324</v>
      </c>
      <c r="E29"/>
      <c r="G29"/>
    </row>
    <row r="30" spans="1:7" x14ac:dyDescent="0.25">
      <c r="A30" s="5" t="s">
        <v>322</v>
      </c>
      <c r="B30" s="5" t="s">
        <v>95</v>
      </c>
      <c r="C30" s="7" t="s">
        <v>96</v>
      </c>
      <c r="D30" s="5" t="s">
        <v>324</v>
      </c>
      <c r="E30"/>
      <c r="G30"/>
    </row>
    <row r="31" spans="1:7" x14ac:dyDescent="0.25">
      <c r="A31" s="5" t="s">
        <v>322</v>
      </c>
      <c r="B31" s="5" t="s">
        <v>97</v>
      </c>
      <c r="C31" s="7" t="s">
        <v>98</v>
      </c>
      <c r="D31" s="5" t="s">
        <v>324</v>
      </c>
      <c r="E31"/>
      <c r="G31"/>
    </row>
    <row r="32" spans="1:7" x14ac:dyDescent="0.25">
      <c r="A32" s="5" t="s">
        <v>322</v>
      </c>
      <c r="B32" s="5" t="s">
        <v>99</v>
      </c>
      <c r="C32" s="7" t="s">
        <v>100</v>
      </c>
      <c r="D32" s="5" t="s">
        <v>320</v>
      </c>
      <c r="E32"/>
      <c r="G32"/>
    </row>
    <row r="33" spans="1:7" x14ac:dyDescent="0.25">
      <c r="A33" s="5" t="s">
        <v>319</v>
      </c>
      <c r="B33" s="5" t="s">
        <v>101</v>
      </c>
      <c r="C33" s="7" t="s">
        <v>102</v>
      </c>
      <c r="D33" s="5" t="s">
        <v>324</v>
      </c>
      <c r="E33"/>
      <c r="G33"/>
    </row>
    <row r="34" spans="1:7" x14ac:dyDescent="0.25">
      <c r="A34" s="5" t="s">
        <v>319</v>
      </c>
      <c r="B34" s="5" t="s">
        <v>103</v>
      </c>
      <c r="C34" s="7" t="s">
        <v>104</v>
      </c>
      <c r="D34" s="5" t="s">
        <v>324</v>
      </c>
      <c r="E34"/>
      <c r="G34"/>
    </row>
    <row r="35" spans="1:7" x14ac:dyDescent="0.25">
      <c r="A35" s="5" t="s">
        <v>322</v>
      </c>
      <c r="B35" s="5" t="s">
        <v>105</v>
      </c>
      <c r="C35" s="7" t="s">
        <v>106</v>
      </c>
      <c r="D35" s="5" t="s">
        <v>324</v>
      </c>
      <c r="E35"/>
      <c r="G35"/>
    </row>
    <row r="36" spans="1:7" x14ac:dyDescent="0.25">
      <c r="A36" s="5" t="s">
        <v>322</v>
      </c>
      <c r="B36" s="5" t="s">
        <v>107</v>
      </c>
      <c r="C36" s="7" t="s">
        <v>108</v>
      </c>
      <c r="D36" s="5" t="s">
        <v>324</v>
      </c>
      <c r="E36"/>
      <c r="G36"/>
    </row>
    <row r="37" spans="1:7" x14ac:dyDescent="0.25">
      <c r="A37" s="5" t="s">
        <v>322</v>
      </c>
      <c r="B37" s="5" t="s">
        <v>109</v>
      </c>
      <c r="C37" s="7" t="s">
        <v>110</v>
      </c>
      <c r="D37" s="5" t="s">
        <v>321</v>
      </c>
      <c r="E37"/>
      <c r="G37"/>
    </row>
    <row r="38" spans="1:7" x14ac:dyDescent="0.25">
      <c r="A38" s="5" t="s">
        <v>322</v>
      </c>
      <c r="B38" s="5" t="s">
        <v>111</v>
      </c>
      <c r="C38" s="7" t="s">
        <v>112</v>
      </c>
      <c r="D38" s="5" t="s">
        <v>321</v>
      </c>
      <c r="E38"/>
      <c r="G38"/>
    </row>
    <row r="39" spans="1:7" x14ac:dyDescent="0.25">
      <c r="A39" s="5" t="s">
        <v>322</v>
      </c>
      <c r="B39" s="5" t="s">
        <v>113</v>
      </c>
      <c r="C39" s="7" t="s">
        <v>114</v>
      </c>
      <c r="D39" s="5" t="s">
        <v>321</v>
      </c>
      <c r="E39"/>
      <c r="G39"/>
    </row>
    <row r="40" spans="1:7" x14ac:dyDescent="0.25">
      <c r="A40" s="5" t="s">
        <v>322</v>
      </c>
      <c r="B40" s="5" t="s">
        <v>115</v>
      </c>
      <c r="C40" s="7" t="s">
        <v>112</v>
      </c>
      <c r="D40" s="5" t="s">
        <v>321</v>
      </c>
      <c r="E40"/>
      <c r="G40"/>
    </row>
    <row r="41" spans="1:7" x14ac:dyDescent="0.25">
      <c r="A41" s="5" t="s">
        <v>322</v>
      </c>
      <c r="B41" s="5" t="s">
        <v>116</v>
      </c>
      <c r="C41" s="7" t="s">
        <v>117</v>
      </c>
      <c r="D41" s="5" t="s">
        <v>320</v>
      </c>
      <c r="E41"/>
      <c r="G41"/>
    </row>
    <row r="42" spans="1:7" x14ac:dyDescent="0.25">
      <c r="A42" s="5" t="s">
        <v>322</v>
      </c>
      <c r="B42" s="5" t="s">
        <v>118</v>
      </c>
      <c r="C42" s="7" t="s">
        <v>119</v>
      </c>
      <c r="D42" s="5" t="s">
        <v>320</v>
      </c>
      <c r="E42"/>
      <c r="G42"/>
    </row>
    <row r="43" spans="1:7" x14ac:dyDescent="0.25">
      <c r="A43" s="5" t="s">
        <v>322</v>
      </c>
      <c r="B43" s="5" t="s">
        <v>120</v>
      </c>
      <c r="C43" s="7" t="s">
        <v>121</v>
      </c>
      <c r="D43" s="5" t="s">
        <v>323</v>
      </c>
      <c r="E43"/>
      <c r="G43"/>
    </row>
    <row r="44" spans="1:7" x14ac:dyDescent="0.25">
      <c r="A44" s="5" t="s">
        <v>322</v>
      </c>
      <c r="B44" s="5" t="s">
        <v>122</v>
      </c>
      <c r="C44" s="7" t="s">
        <v>123</v>
      </c>
      <c r="D44" s="5" t="s">
        <v>323</v>
      </c>
      <c r="E44"/>
      <c r="G44"/>
    </row>
    <row r="45" spans="1:7" x14ac:dyDescent="0.25">
      <c r="A45" s="5" t="s">
        <v>322</v>
      </c>
      <c r="B45" s="5" t="s">
        <v>124</v>
      </c>
      <c r="C45" s="7" t="s">
        <v>125</v>
      </c>
      <c r="D45" s="5" t="s">
        <v>327</v>
      </c>
      <c r="E45"/>
      <c r="G45"/>
    </row>
    <row r="46" spans="1:7" x14ac:dyDescent="0.25">
      <c r="A46" s="5" t="s">
        <v>322</v>
      </c>
      <c r="B46" s="5" t="s">
        <v>126</v>
      </c>
      <c r="C46" s="7" t="s">
        <v>127</v>
      </c>
      <c r="D46" s="5" t="s">
        <v>320</v>
      </c>
      <c r="E46"/>
      <c r="G46"/>
    </row>
    <row r="47" spans="1:7" x14ac:dyDescent="0.25">
      <c r="A47" s="5" t="s">
        <v>322</v>
      </c>
      <c r="B47" s="5" t="s">
        <v>128</v>
      </c>
      <c r="C47" s="7" t="s">
        <v>129</v>
      </c>
      <c r="D47" s="5" t="s">
        <v>328</v>
      </c>
      <c r="E47"/>
      <c r="G47"/>
    </row>
    <row r="48" spans="1:7" x14ac:dyDescent="0.25">
      <c r="A48" s="5" t="s">
        <v>322</v>
      </c>
      <c r="B48" s="5" t="s">
        <v>130</v>
      </c>
      <c r="C48" s="7" t="s">
        <v>131</v>
      </c>
      <c r="D48" s="5" t="s">
        <v>323</v>
      </c>
      <c r="E48"/>
      <c r="G48"/>
    </row>
    <row r="49" spans="1:7" x14ac:dyDescent="0.25">
      <c r="A49" s="5" t="s">
        <v>322</v>
      </c>
      <c r="B49" s="5" t="s">
        <v>132</v>
      </c>
      <c r="C49" s="7" t="s">
        <v>133</v>
      </c>
      <c r="D49" s="5" t="s">
        <v>320</v>
      </c>
      <c r="E49"/>
      <c r="G49"/>
    </row>
    <row r="50" spans="1:7" x14ac:dyDescent="0.25">
      <c r="A50" s="5" t="s">
        <v>322</v>
      </c>
      <c r="B50" s="5" t="s">
        <v>134</v>
      </c>
      <c r="C50" s="7" t="s">
        <v>135</v>
      </c>
      <c r="D50" s="5" t="s">
        <v>320</v>
      </c>
      <c r="E50"/>
      <c r="G50"/>
    </row>
    <row r="51" spans="1:7" x14ac:dyDescent="0.25">
      <c r="A51" s="5" t="s">
        <v>322</v>
      </c>
      <c r="B51" s="5" t="s">
        <v>136</v>
      </c>
      <c r="C51" s="7" t="s">
        <v>137</v>
      </c>
      <c r="D51" s="5" t="s">
        <v>320</v>
      </c>
      <c r="E51"/>
      <c r="G51"/>
    </row>
    <row r="52" spans="1:7" x14ac:dyDescent="0.25">
      <c r="A52" s="5" t="s">
        <v>322</v>
      </c>
      <c r="B52" s="5" t="s">
        <v>138</v>
      </c>
      <c r="C52" s="7" t="s">
        <v>139</v>
      </c>
      <c r="D52" s="5" t="s">
        <v>320</v>
      </c>
      <c r="E52"/>
      <c r="G52"/>
    </row>
    <row r="53" spans="1:7" x14ac:dyDescent="0.25">
      <c r="A53" s="5" t="s">
        <v>322</v>
      </c>
      <c r="B53" s="5" t="s">
        <v>140</v>
      </c>
      <c r="C53" s="7" t="s">
        <v>141</v>
      </c>
      <c r="D53" s="5" t="s">
        <v>320</v>
      </c>
      <c r="E53"/>
      <c r="G53"/>
    </row>
    <row r="54" spans="1:7" x14ac:dyDescent="0.25">
      <c r="A54" s="5" t="s">
        <v>322</v>
      </c>
      <c r="B54" s="5" t="s">
        <v>142</v>
      </c>
      <c r="C54" s="7" t="s">
        <v>143</v>
      </c>
      <c r="D54" s="5" t="s">
        <v>329</v>
      </c>
      <c r="E54"/>
      <c r="G54"/>
    </row>
    <row r="55" spans="1:7" x14ac:dyDescent="0.25">
      <c r="A55" s="5" t="s">
        <v>322</v>
      </c>
      <c r="B55" s="5" t="s">
        <v>144</v>
      </c>
      <c r="C55" s="7" t="s">
        <v>145</v>
      </c>
      <c r="D55" s="5" t="s">
        <v>320</v>
      </c>
      <c r="E55"/>
      <c r="G55"/>
    </row>
    <row r="56" spans="1:7" x14ac:dyDescent="0.25">
      <c r="A56" s="5" t="s">
        <v>322</v>
      </c>
      <c r="B56" s="5" t="s">
        <v>146</v>
      </c>
      <c r="C56" s="7" t="s">
        <v>147</v>
      </c>
      <c r="D56" s="5" t="s">
        <v>329</v>
      </c>
      <c r="E56"/>
      <c r="G56"/>
    </row>
    <row r="57" spans="1:7" x14ac:dyDescent="0.25">
      <c r="A57" s="5" t="s">
        <v>322</v>
      </c>
      <c r="B57" s="5" t="s">
        <v>148</v>
      </c>
      <c r="C57" s="7" t="s">
        <v>149</v>
      </c>
      <c r="D57" s="5" t="s">
        <v>330</v>
      </c>
      <c r="E57"/>
      <c r="G57"/>
    </row>
    <row r="58" spans="1:7" x14ac:dyDescent="0.25">
      <c r="A58" s="5" t="s">
        <v>322</v>
      </c>
      <c r="B58" s="5" t="s">
        <v>150</v>
      </c>
      <c r="C58" s="7" t="s">
        <v>151</v>
      </c>
      <c r="D58" s="5" t="s">
        <v>331</v>
      </c>
      <c r="E58"/>
      <c r="G58"/>
    </row>
    <row r="59" spans="1:7" x14ac:dyDescent="0.25">
      <c r="A59" s="5" t="s">
        <v>319</v>
      </c>
      <c r="B59" s="5" t="s">
        <v>152</v>
      </c>
      <c r="C59" s="7" t="s">
        <v>153</v>
      </c>
      <c r="D59" s="5" t="s">
        <v>332</v>
      </c>
      <c r="E59"/>
      <c r="G59"/>
    </row>
    <row r="60" spans="1:7" x14ac:dyDescent="0.25">
      <c r="A60" s="5" t="s">
        <v>319</v>
      </c>
      <c r="B60" s="5" t="s">
        <v>154</v>
      </c>
      <c r="C60" s="7" t="s">
        <v>155</v>
      </c>
      <c r="D60" s="5" t="s">
        <v>333</v>
      </c>
      <c r="E60"/>
      <c r="G60"/>
    </row>
    <row r="61" spans="1:7" x14ac:dyDescent="0.25">
      <c r="A61" s="5" t="s">
        <v>319</v>
      </c>
      <c r="B61" s="5" t="s">
        <v>156</v>
      </c>
      <c r="C61" s="7" t="s">
        <v>157</v>
      </c>
      <c r="D61" s="5" t="s">
        <v>325</v>
      </c>
      <c r="E61"/>
      <c r="G61"/>
    </row>
    <row r="62" spans="1:7" x14ac:dyDescent="0.25">
      <c r="A62" s="5" t="s">
        <v>319</v>
      </c>
      <c r="B62" s="5" t="s">
        <v>158</v>
      </c>
      <c r="C62" s="7" t="s">
        <v>159</v>
      </c>
      <c r="D62" s="5" t="s">
        <v>334</v>
      </c>
      <c r="E62"/>
      <c r="G62"/>
    </row>
    <row r="63" spans="1:7" x14ac:dyDescent="0.25">
      <c r="A63" s="5" t="s">
        <v>319</v>
      </c>
      <c r="B63" s="5" t="s">
        <v>160</v>
      </c>
      <c r="C63" s="7" t="s">
        <v>161</v>
      </c>
      <c r="D63" s="5" t="s">
        <v>320</v>
      </c>
      <c r="E63"/>
      <c r="G63"/>
    </row>
    <row r="64" spans="1:7" x14ac:dyDescent="0.25">
      <c r="A64" s="5" t="s">
        <v>319</v>
      </c>
      <c r="B64" s="5" t="s">
        <v>162</v>
      </c>
      <c r="C64" s="7" t="s">
        <v>163</v>
      </c>
      <c r="D64" s="5" t="s">
        <v>335</v>
      </c>
      <c r="E64"/>
      <c r="G64"/>
    </row>
    <row r="65" spans="1:7" x14ac:dyDescent="0.25">
      <c r="A65" s="5" t="s">
        <v>319</v>
      </c>
      <c r="B65" s="5" t="s">
        <v>164</v>
      </c>
      <c r="C65" s="7" t="s">
        <v>165</v>
      </c>
      <c r="D65" s="5" t="s">
        <v>336</v>
      </c>
      <c r="E65"/>
      <c r="G65"/>
    </row>
    <row r="66" spans="1:7" x14ac:dyDescent="0.25">
      <c r="A66" s="5" t="s">
        <v>319</v>
      </c>
      <c r="B66" s="5" t="s">
        <v>166</v>
      </c>
      <c r="C66" s="7" t="s">
        <v>167</v>
      </c>
      <c r="D66" s="5" t="s">
        <v>337</v>
      </c>
      <c r="E66"/>
      <c r="G66"/>
    </row>
    <row r="67" spans="1:7" x14ac:dyDescent="0.25">
      <c r="A67" s="5" t="s">
        <v>322</v>
      </c>
      <c r="B67" s="5" t="s">
        <v>168</v>
      </c>
      <c r="C67" s="7" t="s">
        <v>169</v>
      </c>
      <c r="D67" s="5" t="s">
        <v>320</v>
      </c>
      <c r="E67"/>
      <c r="G67"/>
    </row>
    <row r="68" spans="1:7" x14ac:dyDescent="0.25">
      <c r="A68" s="5" t="s">
        <v>322</v>
      </c>
      <c r="B68" s="5" t="s">
        <v>170</v>
      </c>
      <c r="C68" s="7" t="s">
        <v>171</v>
      </c>
      <c r="D68" s="5" t="s">
        <v>321</v>
      </c>
      <c r="E68"/>
      <c r="G68"/>
    </row>
    <row r="69" spans="1:7" x14ac:dyDescent="0.25">
      <c r="A69" s="5" t="s">
        <v>322</v>
      </c>
      <c r="B69" s="5" t="s">
        <v>172</v>
      </c>
      <c r="C69" s="7" t="s">
        <v>173</v>
      </c>
      <c r="D69" s="5" t="s">
        <v>326</v>
      </c>
      <c r="E69"/>
      <c r="G69"/>
    </row>
    <row r="70" spans="1:7" x14ac:dyDescent="0.25">
      <c r="A70" s="5" t="s">
        <v>322</v>
      </c>
      <c r="B70" s="5" t="s">
        <v>174</v>
      </c>
      <c r="C70" s="7" t="s">
        <v>175</v>
      </c>
      <c r="D70" s="5" t="s">
        <v>338</v>
      </c>
      <c r="E70"/>
      <c r="G70"/>
    </row>
    <row r="71" spans="1:7" x14ac:dyDescent="0.25">
      <c r="A71" s="5" t="s">
        <v>322</v>
      </c>
      <c r="B71" s="5" t="s">
        <v>176</v>
      </c>
      <c r="C71" s="7" t="s">
        <v>177</v>
      </c>
      <c r="D71" s="5" t="s">
        <v>321</v>
      </c>
      <c r="E71"/>
      <c r="G71"/>
    </row>
    <row r="72" spans="1:7" x14ac:dyDescent="0.25">
      <c r="A72" s="5" t="s">
        <v>322</v>
      </c>
      <c r="B72" s="5" t="s">
        <v>178</v>
      </c>
      <c r="C72" s="7" t="s">
        <v>179</v>
      </c>
      <c r="D72" s="5" t="s">
        <v>326</v>
      </c>
      <c r="E72"/>
      <c r="G72"/>
    </row>
    <row r="73" spans="1:7" x14ac:dyDescent="0.25">
      <c r="A73" s="5" t="s">
        <v>322</v>
      </c>
      <c r="B73" s="5" t="s">
        <v>180</v>
      </c>
      <c r="C73" s="7" t="s">
        <v>181</v>
      </c>
      <c r="D73" s="5" t="s">
        <v>338</v>
      </c>
      <c r="E73"/>
      <c r="G73"/>
    </row>
    <row r="74" spans="1:7" x14ac:dyDescent="0.25">
      <c r="A74" s="5" t="s">
        <v>322</v>
      </c>
      <c r="B74" s="5" t="s">
        <v>182</v>
      </c>
      <c r="C74" s="7" t="s">
        <v>183</v>
      </c>
      <c r="D74" s="5" t="s">
        <v>339</v>
      </c>
      <c r="E74"/>
      <c r="G74"/>
    </row>
    <row r="75" spans="1:7" x14ac:dyDescent="0.25">
      <c r="A75" s="5" t="s">
        <v>322</v>
      </c>
      <c r="B75" s="5" t="s">
        <v>184</v>
      </c>
      <c r="C75" s="7" t="s">
        <v>185</v>
      </c>
      <c r="D75" s="5" t="s">
        <v>335</v>
      </c>
      <c r="E75"/>
      <c r="G75"/>
    </row>
    <row r="76" spans="1:7" x14ac:dyDescent="0.25">
      <c r="A76" s="5" t="s">
        <v>322</v>
      </c>
      <c r="B76" s="5" t="s">
        <v>186</v>
      </c>
      <c r="C76" s="7" t="s">
        <v>187</v>
      </c>
      <c r="D76" s="5" t="s">
        <v>336</v>
      </c>
      <c r="E76"/>
      <c r="G76"/>
    </row>
    <row r="77" spans="1:7" x14ac:dyDescent="0.25">
      <c r="A77" s="5" t="s">
        <v>322</v>
      </c>
      <c r="B77" s="5" t="s">
        <v>188</v>
      </c>
      <c r="C77" s="7" t="s">
        <v>189</v>
      </c>
      <c r="D77" s="5" t="s">
        <v>340</v>
      </c>
      <c r="E77"/>
      <c r="G77"/>
    </row>
    <row r="78" spans="1:7" x14ac:dyDescent="0.25">
      <c r="A78" s="5" t="s">
        <v>322</v>
      </c>
      <c r="B78" s="5" t="s">
        <v>190</v>
      </c>
      <c r="C78" s="7" t="s">
        <v>191</v>
      </c>
      <c r="D78" s="5" t="s">
        <v>341</v>
      </c>
      <c r="E78"/>
      <c r="G78"/>
    </row>
    <row r="79" spans="1:7" x14ac:dyDescent="0.25">
      <c r="A79" s="5" t="s">
        <v>322</v>
      </c>
      <c r="B79" s="5" t="s">
        <v>192</v>
      </c>
      <c r="C79" s="7" t="s">
        <v>193</v>
      </c>
      <c r="D79" s="5" t="s">
        <v>342</v>
      </c>
      <c r="E79"/>
      <c r="G79"/>
    </row>
    <row r="80" spans="1:7" x14ac:dyDescent="0.25">
      <c r="A80" s="5" t="s">
        <v>322</v>
      </c>
      <c r="B80" s="5" t="s">
        <v>194</v>
      </c>
      <c r="C80" s="7" t="s">
        <v>195</v>
      </c>
      <c r="D80" s="5" t="s">
        <v>320</v>
      </c>
      <c r="E80"/>
      <c r="G80"/>
    </row>
    <row r="81" spans="1:7" x14ac:dyDescent="0.25">
      <c r="A81" s="5" t="s">
        <v>322</v>
      </c>
      <c r="B81" s="5" t="s">
        <v>196</v>
      </c>
      <c r="C81" s="7" t="s">
        <v>197</v>
      </c>
      <c r="D81" s="5" t="s">
        <v>343</v>
      </c>
      <c r="E81"/>
      <c r="G81"/>
    </row>
    <row r="82" spans="1:7" x14ac:dyDescent="0.25">
      <c r="A82" s="5" t="s">
        <v>322</v>
      </c>
      <c r="B82" s="5" t="s">
        <v>198</v>
      </c>
      <c r="C82" s="7" t="s">
        <v>199</v>
      </c>
      <c r="D82" s="5" t="s">
        <v>344</v>
      </c>
      <c r="E82"/>
      <c r="G82"/>
    </row>
    <row r="83" spans="1:7" x14ac:dyDescent="0.25">
      <c r="A83" s="5" t="s">
        <v>322</v>
      </c>
      <c r="B83" s="5" t="s">
        <v>200</v>
      </c>
      <c r="C83" s="7" t="s">
        <v>201</v>
      </c>
      <c r="D83" s="5" t="s">
        <v>324</v>
      </c>
      <c r="E83"/>
      <c r="G83"/>
    </row>
    <row r="84" spans="1:7" x14ac:dyDescent="0.25">
      <c r="A84" s="5" t="s">
        <v>322</v>
      </c>
      <c r="B84" s="5" t="s">
        <v>202</v>
      </c>
      <c r="C84" s="7" t="s">
        <v>203</v>
      </c>
      <c r="D84" s="5" t="s">
        <v>345</v>
      </c>
      <c r="E84"/>
      <c r="G84"/>
    </row>
    <row r="85" spans="1:7" x14ac:dyDescent="0.25">
      <c r="A85" s="5" t="s">
        <v>322</v>
      </c>
      <c r="B85" s="5" t="s">
        <v>204</v>
      </c>
      <c r="C85" s="7" t="s">
        <v>205</v>
      </c>
      <c r="D85" s="5" t="s">
        <v>346</v>
      </c>
      <c r="E85"/>
      <c r="G85"/>
    </row>
    <row r="86" spans="1:7" x14ac:dyDescent="0.25">
      <c r="A86" s="5" t="s">
        <v>322</v>
      </c>
      <c r="B86" s="5" t="s">
        <v>206</v>
      </c>
      <c r="C86" s="7" t="s">
        <v>207</v>
      </c>
      <c r="D86" s="5" t="s">
        <v>340</v>
      </c>
      <c r="E86"/>
      <c r="G86"/>
    </row>
    <row r="87" spans="1:7" x14ac:dyDescent="0.25">
      <c r="A87" s="5" t="s">
        <v>322</v>
      </c>
      <c r="B87" s="5" t="s">
        <v>208</v>
      </c>
      <c r="C87" s="7" t="s">
        <v>209</v>
      </c>
      <c r="D87" s="5" t="s">
        <v>324</v>
      </c>
      <c r="E87"/>
      <c r="G87"/>
    </row>
    <row r="88" spans="1:7" x14ac:dyDescent="0.25">
      <c r="A88" s="5" t="s">
        <v>322</v>
      </c>
      <c r="B88" s="5" t="s">
        <v>210</v>
      </c>
      <c r="C88" s="7" t="s">
        <v>211</v>
      </c>
      <c r="D88" s="5" t="s">
        <v>347</v>
      </c>
      <c r="E88"/>
      <c r="G88"/>
    </row>
    <row r="89" spans="1:7" x14ac:dyDescent="0.25">
      <c r="A89" s="5" t="s">
        <v>322</v>
      </c>
      <c r="B89" s="5" t="s">
        <v>212</v>
      </c>
      <c r="C89" s="7" t="s">
        <v>213</v>
      </c>
      <c r="D89" s="5" t="s">
        <v>348</v>
      </c>
      <c r="E89"/>
      <c r="G89"/>
    </row>
    <row r="90" spans="1:7" x14ac:dyDescent="0.25">
      <c r="A90" s="5" t="s">
        <v>322</v>
      </c>
      <c r="B90" s="5" t="s">
        <v>214</v>
      </c>
      <c r="C90" s="7" t="s">
        <v>215</v>
      </c>
      <c r="D90" s="5" t="s">
        <v>346</v>
      </c>
      <c r="E90"/>
      <c r="G90"/>
    </row>
    <row r="91" spans="1:7" x14ac:dyDescent="0.25">
      <c r="A91" s="5" t="s">
        <v>322</v>
      </c>
      <c r="B91" s="5" t="s">
        <v>216</v>
      </c>
      <c r="C91" s="7" t="s">
        <v>217</v>
      </c>
      <c r="D91" s="5" t="s">
        <v>336</v>
      </c>
      <c r="E91"/>
      <c r="G91"/>
    </row>
    <row r="92" spans="1:7" x14ac:dyDescent="0.25">
      <c r="A92" s="5" t="s">
        <v>322</v>
      </c>
      <c r="B92" s="5" t="s">
        <v>218</v>
      </c>
      <c r="C92" s="7" t="s">
        <v>219</v>
      </c>
      <c r="D92" s="5" t="s">
        <v>326</v>
      </c>
      <c r="E92"/>
      <c r="G92"/>
    </row>
    <row r="93" spans="1:7" x14ac:dyDescent="0.25">
      <c r="A93" s="5" t="s">
        <v>322</v>
      </c>
      <c r="B93" s="5" t="s">
        <v>220</v>
      </c>
      <c r="C93" s="7" t="s">
        <v>221</v>
      </c>
      <c r="D93" s="5" t="s">
        <v>349</v>
      </c>
      <c r="E93"/>
      <c r="G93"/>
    </row>
    <row r="94" spans="1:7" x14ac:dyDescent="0.25">
      <c r="A94" s="5" t="s">
        <v>322</v>
      </c>
      <c r="B94" s="5" t="s">
        <v>222</v>
      </c>
      <c r="C94" s="7" t="s">
        <v>223</v>
      </c>
      <c r="D94" s="5" t="s">
        <v>330</v>
      </c>
      <c r="E94"/>
      <c r="G94"/>
    </row>
    <row r="95" spans="1:7" x14ac:dyDescent="0.25">
      <c r="A95" s="5" t="s">
        <v>322</v>
      </c>
      <c r="B95" s="5" t="s">
        <v>224</v>
      </c>
      <c r="C95" s="7" t="s">
        <v>225</v>
      </c>
      <c r="D95" s="5" t="s">
        <v>335</v>
      </c>
      <c r="E95"/>
      <c r="G95"/>
    </row>
    <row r="96" spans="1:7" x14ac:dyDescent="0.25">
      <c r="A96" s="5" t="s">
        <v>322</v>
      </c>
      <c r="B96" s="5" t="s">
        <v>226</v>
      </c>
      <c r="C96" s="7" t="s">
        <v>227</v>
      </c>
      <c r="D96" s="5" t="s">
        <v>336</v>
      </c>
      <c r="E96"/>
      <c r="G96"/>
    </row>
    <row r="97" spans="1:7" x14ac:dyDescent="0.25">
      <c r="A97" s="5" t="s">
        <v>322</v>
      </c>
      <c r="B97" s="5" t="s">
        <v>228</v>
      </c>
      <c r="C97" s="7" t="s">
        <v>229</v>
      </c>
      <c r="D97" s="5" t="s">
        <v>350</v>
      </c>
      <c r="E97"/>
      <c r="G97"/>
    </row>
    <row r="98" spans="1:7" x14ac:dyDescent="0.25">
      <c r="A98" s="5" t="s">
        <v>322</v>
      </c>
      <c r="B98" s="5" t="s">
        <v>230</v>
      </c>
      <c r="C98" s="7" t="s">
        <v>231</v>
      </c>
      <c r="D98" s="5" t="s">
        <v>327</v>
      </c>
      <c r="E98"/>
      <c r="G98"/>
    </row>
    <row r="99" spans="1:7" x14ac:dyDescent="0.25">
      <c r="A99" s="5" t="s">
        <v>322</v>
      </c>
      <c r="B99" s="5" t="s">
        <v>232</v>
      </c>
      <c r="C99" s="7" t="s">
        <v>233</v>
      </c>
      <c r="D99" s="5" t="s">
        <v>351</v>
      </c>
      <c r="E99"/>
      <c r="G99"/>
    </row>
    <row r="100" spans="1:7" x14ac:dyDescent="0.25">
      <c r="A100" s="5" t="s">
        <v>322</v>
      </c>
      <c r="B100" s="5" t="s">
        <v>234</v>
      </c>
      <c r="C100" s="7" t="s">
        <v>235</v>
      </c>
      <c r="D100" s="5" t="s">
        <v>352</v>
      </c>
      <c r="E100"/>
      <c r="G100"/>
    </row>
    <row r="101" spans="1:7" x14ac:dyDescent="0.25">
      <c r="A101" s="5" t="s">
        <v>322</v>
      </c>
      <c r="B101" s="5" t="s">
        <v>236</v>
      </c>
      <c r="C101" s="7" t="s">
        <v>237</v>
      </c>
      <c r="D101" s="5" t="s">
        <v>353</v>
      </c>
      <c r="E101"/>
      <c r="G101"/>
    </row>
    <row r="102" spans="1:7" x14ac:dyDescent="0.25">
      <c r="A102" s="5" t="s">
        <v>322</v>
      </c>
      <c r="B102" s="5" t="s">
        <v>238</v>
      </c>
      <c r="C102" s="7" t="s">
        <v>239</v>
      </c>
      <c r="D102" s="5" t="s">
        <v>320</v>
      </c>
      <c r="E102"/>
      <c r="G102"/>
    </row>
    <row r="103" spans="1:7" x14ac:dyDescent="0.25">
      <c r="A103" s="5" t="s">
        <v>322</v>
      </c>
      <c r="B103" s="5" t="s">
        <v>240</v>
      </c>
      <c r="C103" s="7" t="s">
        <v>241</v>
      </c>
      <c r="D103" s="5" t="s">
        <v>343</v>
      </c>
      <c r="E103"/>
      <c r="G103"/>
    </row>
    <row r="104" spans="1:7" x14ac:dyDescent="0.25">
      <c r="A104" s="5" t="s">
        <v>322</v>
      </c>
      <c r="B104" s="5" t="s">
        <v>242</v>
      </c>
      <c r="C104" s="7" t="s">
        <v>243</v>
      </c>
      <c r="D104" s="5" t="s">
        <v>351</v>
      </c>
      <c r="E104"/>
      <c r="G104"/>
    </row>
    <row r="105" spans="1:7" x14ac:dyDescent="0.25">
      <c r="A105" s="5" t="s">
        <v>322</v>
      </c>
      <c r="B105" s="5" t="s">
        <v>244</v>
      </c>
      <c r="C105" s="7" t="s">
        <v>245</v>
      </c>
      <c r="D105" s="5" t="s">
        <v>354</v>
      </c>
      <c r="E105"/>
      <c r="G105"/>
    </row>
    <row r="106" spans="1:7" x14ac:dyDescent="0.25">
      <c r="A106" s="5" t="s">
        <v>322</v>
      </c>
      <c r="B106" s="5" t="s">
        <v>246</v>
      </c>
      <c r="C106" s="7" t="s">
        <v>247</v>
      </c>
      <c r="D106" s="5" t="s">
        <v>350</v>
      </c>
      <c r="E106"/>
      <c r="G106"/>
    </row>
    <row r="107" spans="1:7" x14ac:dyDescent="0.25">
      <c r="A107" s="5" t="s">
        <v>322</v>
      </c>
      <c r="B107" s="5" t="s">
        <v>248</v>
      </c>
      <c r="C107" s="7" t="s">
        <v>249</v>
      </c>
      <c r="D107" s="5" t="s">
        <v>327</v>
      </c>
      <c r="E107"/>
      <c r="G107"/>
    </row>
    <row r="108" spans="1:7" x14ac:dyDescent="0.25">
      <c r="A108" s="5" t="s">
        <v>322</v>
      </c>
      <c r="B108" s="5" t="s">
        <v>250</v>
      </c>
      <c r="C108" s="7" t="s">
        <v>251</v>
      </c>
      <c r="D108" s="5" t="s">
        <v>351</v>
      </c>
      <c r="E108"/>
      <c r="G108"/>
    </row>
    <row r="109" spans="1:7" x14ac:dyDescent="0.25">
      <c r="A109" s="5" t="s">
        <v>322</v>
      </c>
      <c r="B109" s="5" t="s">
        <v>252</v>
      </c>
      <c r="C109" s="7" t="s">
        <v>253</v>
      </c>
      <c r="D109" s="5" t="s">
        <v>352</v>
      </c>
      <c r="E109"/>
      <c r="G109"/>
    </row>
    <row r="110" spans="1:7" x14ac:dyDescent="0.25">
      <c r="A110" s="5" t="s">
        <v>322</v>
      </c>
      <c r="B110" s="5" t="s">
        <v>254</v>
      </c>
      <c r="C110" s="7" t="s">
        <v>255</v>
      </c>
      <c r="D110" s="5" t="s">
        <v>353</v>
      </c>
      <c r="E110"/>
      <c r="G110"/>
    </row>
    <row r="111" spans="1:7" x14ac:dyDescent="0.25">
      <c r="A111" s="5" t="s">
        <v>322</v>
      </c>
      <c r="B111" s="5" t="s">
        <v>256</v>
      </c>
      <c r="C111" s="7" t="s">
        <v>257</v>
      </c>
      <c r="D111" s="5" t="s">
        <v>320</v>
      </c>
      <c r="E111"/>
      <c r="G111"/>
    </row>
    <row r="112" spans="1:7" x14ac:dyDescent="0.25">
      <c r="A112" s="5" t="s">
        <v>322</v>
      </c>
      <c r="B112" s="5" t="s">
        <v>258</v>
      </c>
      <c r="C112" s="7" t="s">
        <v>259</v>
      </c>
      <c r="D112" s="5" t="s">
        <v>343</v>
      </c>
      <c r="E112"/>
      <c r="G112"/>
    </row>
    <row r="113" spans="1:7" x14ac:dyDescent="0.25">
      <c r="A113" s="5" t="s">
        <v>322</v>
      </c>
      <c r="B113" s="5" t="s">
        <v>260</v>
      </c>
      <c r="C113" s="7" t="s">
        <v>261</v>
      </c>
      <c r="D113" s="5" t="s">
        <v>351</v>
      </c>
      <c r="E113"/>
      <c r="G113"/>
    </row>
    <row r="114" spans="1:7" x14ac:dyDescent="0.25">
      <c r="A114" s="5" t="s">
        <v>322</v>
      </c>
      <c r="B114" s="5" t="s">
        <v>262</v>
      </c>
      <c r="C114" s="7" t="s">
        <v>263</v>
      </c>
      <c r="D114" s="5" t="s">
        <v>354</v>
      </c>
      <c r="E114"/>
      <c r="G114"/>
    </row>
    <row r="115" spans="1:7" x14ac:dyDescent="0.25">
      <c r="A115" s="5" t="s">
        <v>322</v>
      </c>
      <c r="B115" s="5" t="s">
        <v>264</v>
      </c>
      <c r="C115" s="7" t="s">
        <v>265</v>
      </c>
      <c r="D115" s="5" t="s">
        <v>324</v>
      </c>
      <c r="E115"/>
      <c r="G115"/>
    </row>
    <row r="116" spans="1:7" x14ac:dyDescent="0.25">
      <c r="A116" s="5" t="s">
        <v>322</v>
      </c>
      <c r="B116" s="5" t="s">
        <v>266</v>
      </c>
      <c r="C116" s="7" t="s">
        <v>267</v>
      </c>
      <c r="D116" s="5" t="s">
        <v>324</v>
      </c>
      <c r="E116"/>
      <c r="G116"/>
    </row>
    <row r="117" spans="1:7" x14ac:dyDescent="0.25">
      <c r="A117" s="5" t="s">
        <v>322</v>
      </c>
      <c r="B117" s="5" t="s">
        <v>268</v>
      </c>
      <c r="C117" s="7" t="s">
        <v>269</v>
      </c>
      <c r="D117" s="5" t="s">
        <v>324</v>
      </c>
      <c r="E117"/>
      <c r="G117"/>
    </row>
    <row r="118" spans="1:7" x14ac:dyDescent="0.25">
      <c r="A118" s="5" t="s">
        <v>319</v>
      </c>
      <c r="B118" s="5" t="s">
        <v>270</v>
      </c>
      <c r="C118" s="7" t="s">
        <v>271</v>
      </c>
      <c r="D118" s="5" t="s">
        <v>329</v>
      </c>
      <c r="E118"/>
      <c r="G118"/>
    </row>
    <row r="119" spans="1:7" x14ac:dyDescent="0.25">
      <c r="A119" s="5" t="s">
        <v>319</v>
      </c>
      <c r="B119" s="5" t="s">
        <v>272</v>
      </c>
      <c r="C119" s="7" t="s">
        <v>273</v>
      </c>
      <c r="D119" s="5" t="s">
        <v>330</v>
      </c>
      <c r="E119"/>
      <c r="G119"/>
    </row>
    <row r="120" spans="1:7" x14ac:dyDescent="0.25">
      <c r="A120" s="5" t="s">
        <v>319</v>
      </c>
      <c r="B120" s="5" t="s">
        <v>274</v>
      </c>
      <c r="C120" s="7" t="s">
        <v>275</v>
      </c>
      <c r="D120" s="5" t="s">
        <v>331</v>
      </c>
      <c r="E120"/>
      <c r="G120"/>
    </row>
    <row r="121" spans="1:7" x14ac:dyDescent="0.25">
      <c r="A121" s="5" t="s">
        <v>322</v>
      </c>
      <c r="B121" s="5" t="s">
        <v>276</v>
      </c>
      <c r="C121" s="7" t="s">
        <v>277</v>
      </c>
      <c r="D121" s="5" t="s">
        <v>355</v>
      </c>
      <c r="E121"/>
      <c r="G121"/>
    </row>
    <row r="122" spans="1:7" x14ac:dyDescent="0.25">
      <c r="A122" s="5" t="s">
        <v>322</v>
      </c>
      <c r="B122" s="5" t="s">
        <v>278</v>
      </c>
      <c r="C122" s="7" t="s">
        <v>279</v>
      </c>
      <c r="D122" s="5" t="s">
        <v>324</v>
      </c>
      <c r="E122"/>
      <c r="G122"/>
    </row>
    <row r="123" spans="1:7" x14ac:dyDescent="0.25">
      <c r="A123" s="5" t="s">
        <v>322</v>
      </c>
      <c r="B123" s="5" t="s">
        <v>280</v>
      </c>
      <c r="C123" s="7" t="s">
        <v>281</v>
      </c>
      <c r="D123" s="5" t="s">
        <v>320</v>
      </c>
      <c r="E123"/>
      <c r="G123"/>
    </row>
    <row r="124" spans="1:7" x14ac:dyDescent="0.25">
      <c r="A124" s="5" t="s">
        <v>322</v>
      </c>
      <c r="B124" s="5" t="s">
        <v>282</v>
      </c>
      <c r="C124" s="7" t="s">
        <v>283</v>
      </c>
      <c r="D124" s="5" t="s">
        <v>320</v>
      </c>
      <c r="E124"/>
      <c r="G124"/>
    </row>
    <row r="125" spans="1:7" x14ac:dyDescent="0.25">
      <c r="A125" s="5" t="s">
        <v>322</v>
      </c>
      <c r="B125" s="5" t="s">
        <v>284</v>
      </c>
      <c r="C125" s="7" t="s">
        <v>285</v>
      </c>
      <c r="D125" s="5" t="s">
        <v>320</v>
      </c>
      <c r="E125"/>
      <c r="G125"/>
    </row>
    <row r="126" spans="1:7" x14ac:dyDescent="0.25">
      <c r="A126" s="5" t="s">
        <v>322</v>
      </c>
      <c r="B126" s="5" t="s">
        <v>286</v>
      </c>
      <c r="C126" s="7" t="s">
        <v>287</v>
      </c>
      <c r="D126" s="5" t="s">
        <v>320</v>
      </c>
      <c r="E126"/>
      <c r="G126"/>
    </row>
    <row r="127" spans="1:7" x14ac:dyDescent="0.25">
      <c r="A127" s="5" t="s">
        <v>322</v>
      </c>
      <c r="B127" s="5" t="s">
        <v>288</v>
      </c>
      <c r="C127" s="7" t="s">
        <v>289</v>
      </c>
      <c r="D127" s="5" t="s">
        <v>320</v>
      </c>
      <c r="E127"/>
      <c r="G127"/>
    </row>
    <row r="128" spans="1:7" x14ac:dyDescent="0.25">
      <c r="A128" s="5" t="s">
        <v>319</v>
      </c>
      <c r="B128" s="5" t="s">
        <v>290</v>
      </c>
      <c r="C128" s="7" t="s">
        <v>291</v>
      </c>
      <c r="D128" s="5" t="s">
        <v>320</v>
      </c>
      <c r="E128"/>
      <c r="G128"/>
    </row>
    <row r="129" spans="1:7" x14ac:dyDescent="0.25">
      <c r="A129" s="5" t="s">
        <v>319</v>
      </c>
      <c r="B129" s="5" t="s">
        <v>292</v>
      </c>
      <c r="C129" s="7" t="s">
        <v>293</v>
      </c>
      <c r="D129" s="5" t="s">
        <v>320</v>
      </c>
      <c r="E129"/>
      <c r="G129"/>
    </row>
    <row r="130" spans="1:7" x14ac:dyDescent="0.25">
      <c r="A130" s="5" t="s">
        <v>319</v>
      </c>
      <c r="B130" s="5" t="s">
        <v>294</v>
      </c>
      <c r="C130" s="7" t="s">
        <v>295</v>
      </c>
      <c r="D130" s="5" t="s">
        <v>320</v>
      </c>
      <c r="E130"/>
      <c r="G130"/>
    </row>
    <row r="131" spans="1:7" x14ac:dyDescent="0.25">
      <c r="A131" s="5" t="s">
        <v>319</v>
      </c>
      <c r="B131" s="5" t="s">
        <v>296</v>
      </c>
      <c r="C131" s="7" t="s">
        <v>297</v>
      </c>
      <c r="D131" s="5" t="s">
        <v>320</v>
      </c>
      <c r="E131"/>
      <c r="G131"/>
    </row>
    <row r="132" spans="1:7" x14ac:dyDescent="0.25">
      <c r="A132" s="5" t="s">
        <v>319</v>
      </c>
      <c r="B132" s="5" t="s">
        <v>298</v>
      </c>
      <c r="C132" s="7" t="s">
        <v>299</v>
      </c>
      <c r="D132" s="5" t="s">
        <v>320</v>
      </c>
      <c r="E132"/>
      <c r="G132"/>
    </row>
    <row r="133" spans="1:7" x14ac:dyDescent="0.25">
      <c r="A133" s="5" t="s">
        <v>322</v>
      </c>
      <c r="B133" s="5" t="s">
        <v>300</v>
      </c>
      <c r="C133" s="7" t="s">
        <v>301</v>
      </c>
      <c r="D133" s="5" t="s">
        <v>320</v>
      </c>
      <c r="E133"/>
      <c r="G133"/>
    </row>
    <row r="134" spans="1:7" x14ac:dyDescent="0.25">
      <c r="A134" s="5" t="s">
        <v>319</v>
      </c>
      <c r="B134" s="5" t="s">
        <v>302</v>
      </c>
      <c r="C134" s="7" t="s">
        <v>303</v>
      </c>
      <c r="D134" s="5" t="s">
        <v>320</v>
      </c>
      <c r="E134"/>
      <c r="G134"/>
    </row>
    <row r="135" spans="1:7" x14ac:dyDescent="0.25">
      <c r="A135" s="5" t="s">
        <v>319</v>
      </c>
      <c r="B135" s="5" t="s">
        <v>304</v>
      </c>
      <c r="C135" s="7" t="s">
        <v>305</v>
      </c>
      <c r="D135" s="5" t="s">
        <v>320</v>
      </c>
      <c r="E135"/>
      <c r="G135"/>
    </row>
    <row r="136" spans="1:7" x14ac:dyDescent="0.25">
      <c r="A136" s="5" t="s">
        <v>319</v>
      </c>
      <c r="B136" s="5" t="s">
        <v>306</v>
      </c>
      <c r="C136" s="7" t="s">
        <v>307</v>
      </c>
      <c r="D136" s="5" t="s">
        <v>320</v>
      </c>
      <c r="E136"/>
      <c r="G136"/>
    </row>
    <row r="137" spans="1:7" x14ac:dyDescent="0.25">
      <c r="A137" s="5" t="s">
        <v>322</v>
      </c>
      <c r="B137" s="5" t="s">
        <v>308</v>
      </c>
      <c r="C137" s="7" t="s">
        <v>309</v>
      </c>
      <c r="D137" s="5" t="s">
        <v>320</v>
      </c>
      <c r="E137"/>
      <c r="G137"/>
    </row>
    <row r="138" spans="1:7" x14ac:dyDescent="0.25">
      <c r="A138" s="5" t="s">
        <v>322</v>
      </c>
      <c r="B138" s="5" t="s">
        <v>310</v>
      </c>
      <c r="C138" s="7" t="s">
        <v>311</v>
      </c>
      <c r="D138" s="5" t="s">
        <v>320</v>
      </c>
      <c r="E138"/>
      <c r="G138"/>
    </row>
    <row r="139" spans="1:7" x14ac:dyDescent="0.25">
      <c r="A139" s="5" t="s">
        <v>322</v>
      </c>
      <c r="B139" s="5" t="s">
        <v>312</v>
      </c>
      <c r="C139" s="7" t="s">
        <v>313</v>
      </c>
      <c r="D139" s="5" t="s">
        <v>320</v>
      </c>
      <c r="E139"/>
      <c r="G139"/>
    </row>
    <row r="140" spans="1:7" x14ac:dyDescent="0.25">
      <c r="A140" s="5" t="s">
        <v>319</v>
      </c>
      <c r="B140" s="5" t="s">
        <v>314</v>
      </c>
      <c r="C140" s="7" t="s">
        <v>315</v>
      </c>
      <c r="D140" s="5" t="s">
        <v>320</v>
      </c>
      <c r="E140"/>
      <c r="G140"/>
    </row>
  </sheetData>
  <dataValidations count="1">
    <dataValidation type="list" allowBlank="1" showInputMessage="1" showErrorMessage="1" sqref="A2:A140" xr:uid="{F5E34B6B-A1AC-45A8-BFA2-93B822F6C27C}">
      <formula1>"Yes,No"</formula1>
    </dataValidation>
  </dataValidations>
  <pageMargins left="0.7" right="0.7" top="0.75" bottom="0.75" header="0.3" footer="0.3"/>
  <pageSetup orientation="portrait"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14086-073D-4E2B-8960-F694E5367B5D}">
  <dimension ref="A1:C15"/>
  <sheetViews>
    <sheetView workbookViewId="0">
      <pane ySplit="1" topLeftCell="A2" activePane="bottomLeft" state="frozen"/>
      <selection pane="bottomLeft" sqref="A1:XFD1"/>
    </sheetView>
  </sheetViews>
  <sheetFormatPr defaultRowHeight="15" x14ac:dyDescent="0.25"/>
  <cols>
    <col min="1" max="1" width="65.28515625" bestFit="1" customWidth="1"/>
    <col min="2" max="2" width="15.28515625" customWidth="1"/>
    <col min="3" max="3" width="17.5703125" customWidth="1"/>
  </cols>
  <sheetData>
    <row r="1" spans="1:3" ht="45" customHeight="1" x14ac:dyDescent="0.25">
      <c r="A1" s="1" t="s">
        <v>356</v>
      </c>
      <c r="B1" s="1" t="s">
        <v>357</v>
      </c>
      <c r="C1" s="1" t="s">
        <v>358</v>
      </c>
    </row>
    <row r="2" spans="1:3" x14ac:dyDescent="0.25">
      <c r="A2" t="s">
        <v>26</v>
      </c>
      <c r="B2" s="4">
        <v>1700</v>
      </c>
      <c r="C2" s="4">
        <f t="shared" ref="C2:C15" si="0">B2/60</f>
        <v>28.333333333333332</v>
      </c>
    </row>
    <row r="3" spans="1:3" x14ac:dyDescent="0.25">
      <c r="A3" t="s">
        <v>27</v>
      </c>
      <c r="B3" s="4">
        <v>1600</v>
      </c>
      <c r="C3" s="4">
        <f t="shared" si="0"/>
        <v>26.666666666666668</v>
      </c>
    </row>
    <row r="4" spans="1:3" x14ac:dyDescent="0.25">
      <c r="A4" t="s">
        <v>28</v>
      </c>
      <c r="B4" s="4">
        <v>1500</v>
      </c>
      <c r="C4" s="4">
        <f t="shared" si="0"/>
        <v>25</v>
      </c>
    </row>
    <row r="5" spans="1:3" x14ac:dyDescent="0.25">
      <c r="A5" t="s">
        <v>29</v>
      </c>
      <c r="B5" s="4">
        <v>1400</v>
      </c>
      <c r="C5" s="4">
        <f t="shared" si="0"/>
        <v>23.333333333333332</v>
      </c>
    </row>
    <row r="6" spans="1:3" x14ac:dyDescent="0.25">
      <c r="A6" t="s">
        <v>359</v>
      </c>
      <c r="B6" s="4">
        <v>1300</v>
      </c>
      <c r="C6" s="4">
        <f t="shared" si="0"/>
        <v>21.666666666666668</v>
      </c>
    </row>
    <row r="7" spans="1:3" x14ac:dyDescent="0.25">
      <c r="A7" t="s">
        <v>30</v>
      </c>
      <c r="B7" s="4">
        <v>1200</v>
      </c>
      <c r="C7" s="4">
        <f t="shared" si="0"/>
        <v>20</v>
      </c>
    </row>
    <row r="8" spans="1:3" x14ac:dyDescent="0.25">
      <c r="A8" t="s">
        <v>31</v>
      </c>
      <c r="B8" s="4">
        <v>1100</v>
      </c>
      <c r="C8" s="4">
        <f t="shared" si="0"/>
        <v>18.333333333333332</v>
      </c>
    </row>
    <row r="9" spans="1:3" x14ac:dyDescent="0.25">
      <c r="A9" t="s">
        <v>32</v>
      </c>
      <c r="B9" s="4">
        <v>1000</v>
      </c>
      <c r="C9" s="4">
        <f t="shared" si="0"/>
        <v>16.666666666666668</v>
      </c>
    </row>
    <row r="10" spans="1:3" x14ac:dyDescent="0.25">
      <c r="A10" t="s">
        <v>33</v>
      </c>
      <c r="B10" s="4">
        <v>900</v>
      </c>
      <c r="C10" s="4">
        <f t="shared" si="0"/>
        <v>15</v>
      </c>
    </row>
    <row r="11" spans="1:3" x14ac:dyDescent="0.25">
      <c r="A11" t="s">
        <v>360</v>
      </c>
      <c r="B11" s="4">
        <v>800</v>
      </c>
      <c r="C11" s="4">
        <f t="shared" si="0"/>
        <v>13.333333333333334</v>
      </c>
    </row>
    <row r="12" spans="1:3" x14ac:dyDescent="0.25">
      <c r="A12" t="s">
        <v>34</v>
      </c>
      <c r="B12" s="4">
        <v>700</v>
      </c>
      <c r="C12" s="4">
        <f t="shared" si="0"/>
        <v>11.666666666666666</v>
      </c>
    </row>
    <row r="13" spans="1:3" x14ac:dyDescent="0.25">
      <c r="A13" t="s">
        <v>35</v>
      </c>
      <c r="B13" s="4">
        <v>600</v>
      </c>
      <c r="C13" s="4">
        <f t="shared" si="0"/>
        <v>10</v>
      </c>
    </row>
    <row r="14" spans="1:3" x14ac:dyDescent="0.25">
      <c r="A14" t="s">
        <v>36</v>
      </c>
      <c r="B14" s="4">
        <v>400</v>
      </c>
      <c r="C14" s="4">
        <f t="shared" si="0"/>
        <v>6.666666666666667</v>
      </c>
    </row>
    <row r="15" spans="1:3" x14ac:dyDescent="0.25">
      <c r="A15" t="s">
        <v>37</v>
      </c>
      <c r="B15" s="4">
        <v>300</v>
      </c>
      <c r="C15" s="4">
        <f t="shared" si="0"/>
        <v>5</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27A0DE307DC44C9C6D49C199E56D43" ma:contentTypeVersion="17" ma:contentTypeDescription="Create a new document." ma:contentTypeScope="" ma:versionID="792277f2e4dc809c4aae5c8abb069133">
  <xsd:schema xmlns:xsd="http://www.w3.org/2001/XMLSchema" xmlns:xs="http://www.w3.org/2001/XMLSchema" xmlns:p="http://schemas.microsoft.com/office/2006/metadata/properties" xmlns:ns2="bdde9dca-b655-4c82-9756-0719d4cc3ad5" xmlns:ns3="08b51a6c-15c5-468c-9d03-3812a6e79002" targetNamespace="http://schemas.microsoft.com/office/2006/metadata/properties" ma:root="true" ma:fieldsID="54b1b589b8285858c95b3542f4c822e1" ns2:_="" ns3:_="">
    <xsd:import namespace="bdde9dca-b655-4c82-9756-0719d4cc3ad5"/>
    <xsd:import namespace="08b51a6c-15c5-468c-9d03-3812a6e7900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Coun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de9dca-b655-4c82-9756-0719d4cc3a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a1b1a5a-f0f9-49c0-b9db-6a9c78dda76a" ma:termSetId="09814cd3-568e-fe90-9814-8d621ff8fb84" ma:anchorId="fba54fb3-c3e1-fe81-a776-ca4b69148c4d" ma:open="true" ma:isKeyword="false">
      <xsd:complexType>
        <xsd:sequence>
          <xsd:element ref="pc:Terms" minOccurs="0" maxOccurs="1"/>
        </xsd:sequence>
      </xsd:complexType>
    </xsd:element>
    <xsd:element name="County" ma:index="24" nillable="true" ma:displayName="County" ma:description="Where PIPs are from" ma:format="Dropdown" ma:internalName="County">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8b51a6c-15c5-468c-9d03-3812a6e7900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44764a0-56e0-4cd0-8eca-b34752208dec}" ma:internalName="TaxCatchAll" ma:showField="CatchAllData" ma:web="08b51a6c-15c5-468c-9d03-3812a6e79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D20B71-343B-4633-98AF-523DBFB131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de9dca-b655-4c82-9756-0719d4cc3ad5"/>
    <ds:schemaRef ds:uri="08b51a6c-15c5-468c-9d03-3812a6e79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53A92F-D220-43FF-9252-55BB63BFDF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Units</vt:lpstr>
      <vt:lpstr>Revenue</vt:lpstr>
      <vt:lpstr>Code Rates</vt:lpstr>
      <vt:lpstr>Code Minutes</vt:lpstr>
      <vt:lpstr>Provider Rates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Wagner</dc:creator>
  <cp:keywords/>
  <dc:description/>
  <cp:lastModifiedBy>Andrew Wagner</cp:lastModifiedBy>
  <cp:revision/>
  <dcterms:created xsi:type="dcterms:W3CDTF">2022-10-25T12:31:27Z</dcterms:created>
  <dcterms:modified xsi:type="dcterms:W3CDTF">2022-11-17T00:44:52Z</dcterms:modified>
  <cp:category/>
  <cp:contentStatus/>
</cp:coreProperties>
</file>