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C:\Users\AndrewWagner\Desktop\Impact Model Updates\"/>
    </mc:Choice>
  </mc:AlternateContent>
  <xr:revisionPtr revIDLastSave="0" documentId="13_ncr:1_{08C1B222-A363-480F-A006-DECF5E08F2DE}" xr6:coauthVersionLast="47" xr6:coauthVersionMax="47" xr10:uidLastSave="{00000000-0000-0000-0000-000000000000}"/>
  <bookViews>
    <workbookView xWindow="-28920" yWindow="-120" windowWidth="29040" windowHeight="17640" xr2:uid="{E9591386-531F-4FB0-A33E-843184520224}"/>
  </bookViews>
  <sheets>
    <sheet name="Introduction" sheetId="8" r:id="rId1"/>
    <sheet name="Units" sheetId="1" r:id="rId2"/>
    <sheet name="Revenue" sheetId="7" r:id="rId3"/>
    <sheet name="Code Rates" sheetId="3" r:id="rId4"/>
    <sheet name="Code Minutes" sheetId="5" r:id="rId5"/>
    <sheet name="Provider Rate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2"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M2"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J13" i="3" l="1" a="1"/>
  <c r="J13" i="3" s="1"/>
  <c r="J13" i="7" s="1"/>
  <c r="J37" i="3" a="1"/>
  <c r="J37" i="3" s="1"/>
  <c r="J37" i="7" s="1"/>
  <c r="J68" i="3" a="1"/>
  <c r="J68" i="3" s="1"/>
  <c r="J68" i="7" s="1"/>
  <c r="J69" i="3" a="1"/>
  <c r="J69" i="3" s="1"/>
  <c r="J69" i="7" s="1"/>
  <c r="J73" i="3" a="1"/>
  <c r="J73" i="3" s="1"/>
  <c r="J73" i="7" s="1"/>
  <c r="J76" i="3" a="1"/>
  <c r="J76" i="3" s="1"/>
  <c r="J76" i="7" s="1"/>
  <c r="E100" i="1"/>
  <c r="F100" i="1"/>
  <c r="G100" i="1"/>
  <c r="H100" i="1"/>
  <c r="I100" i="1"/>
  <c r="J100" i="1"/>
  <c r="K100" i="1"/>
  <c r="L100" i="1"/>
  <c r="D100" i="1"/>
  <c r="C2" i="4"/>
  <c r="C3" i="4"/>
  <c r="C4" i="4"/>
  <c r="C5" i="4"/>
  <c r="C6" i="4"/>
  <c r="C7" i="4"/>
  <c r="C8" i="4"/>
  <c r="J31" i="3" s="1" a="1"/>
  <c r="J31" i="3" s="1"/>
  <c r="J31" i="7" s="1"/>
  <c r="C9" i="4"/>
  <c r="C10" i="4"/>
  <c r="K93" i="3" l="1"/>
  <c r="K81" i="3"/>
  <c r="K65" i="3"/>
  <c r="K53" i="3"/>
  <c r="K41" i="3"/>
  <c r="K18" i="3"/>
  <c r="K28" i="3"/>
  <c r="K19" i="3"/>
  <c r="K92" i="3"/>
  <c r="K92" i="7" s="1"/>
  <c r="K80" i="3"/>
  <c r="K64" i="3"/>
  <c r="K52" i="3"/>
  <c r="K52" i="7" s="1"/>
  <c r="K40" i="3"/>
  <c r="K17" i="3"/>
  <c r="K16" i="3"/>
  <c r="K91" i="3"/>
  <c r="K79" i="3"/>
  <c r="K63" i="3"/>
  <c r="K51" i="3"/>
  <c r="K42" i="3"/>
  <c r="K90" i="3"/>
  <c r="K90" i="7" s="1"/>
  <c r="K78" i="3"/>
  <c r="K62" i="3"/>
  <c r="K50" i="3"/>
  <c r="K50" i="7" s="1"/>
  <c r="K27" i="3"/>
  <c r="K15" i="3"/>
  <c r="K5" i="3"/>
  <c r="K4" i="3"/>
  <c r="K89" i="3"/>
  <c r="K77" i="3"/>
  <c r="K61" i="3"/>
  <c r="K49" i="3"/>
  <c r="K26" i="3"/>
  <c r="K26" i="7" s="1"/>
  <c r="K12" i="3"/>
  <c r="K23" i="3"/>
  <c r="K82" i="3"/>
  <c r="K82" i="7" s="1"/>
  <c r="K88" i="3"/>
  <c r="K75" i="3"/>
  <c r="K60" i="3"/>
  <c r="K48" i="3"/>
  <c r="K25" i="3"/>
  <c r="K7" i="3"/>
  <c r="K46" i="3"/>
  <c r="K54" i="3"/>
  <c r="K99" i="3"/>
  <c r="K99" i="7" s="1"/>
  <c r="K87" i="3"/>
  <c r="K74" i="3"/>
  <c r="K59" i="3"/>
  <c r="K59" i="7" s="1"/>
  <c r="K47" i="3"/>
  <c r="K24" i="3"/>
  <c r="K6" i="3"/>
  <c r="K22" i="3"/>
  <c r="K98" i="3"/>
  <c r="K86" i="3"/>
  <c r="K72" i="3"/>
  <c r="K58" i="3"/>
  <c r="K97" i="3"/>
  <c r="K85" i="3"/>
  <c r="K71" i="3"/>
  <c r="K57" i="3"/>
  <c r="K57" i="7" s="1"/>
  <c r="K45" i="3"/>
  <c r="K96" i="3"/>
  <c r="K84" i="3"/>
  <c r="K70" i="3"/>
  <c r="K56" i="3"/>
  <c r="K44" i="3"/>
  <c r="K21" i="3"/>
  <c r="K3" i="3"/>
  <c r="K94" i="3"/>
  <c r="K94" i="7" s="1"/>
  <c r="K95" i="3"/>
  <c r="K83" i="3"/>
  <c r="K67" i="3"/>
  <c r="K67" i="7" s="1"/>
  <c r="K55" i="3"/>
  <c r="K43" i="3"/>
  <c r="K20" i="3"/>
  <c r="K2" i="3"/>
  <c r="K66" i="3"/>
  <c r="L96" i="3"/>
  <c r="L90" i="3"/>
  <c r="L84" i="3"/>
  <c r="L78" i="3"/>
  <c r="L78" i="7" s="1"/>
  <c r="L70" i="3"/>
  <c r="L62" i="3"/>
  <c r="L56" i="3"/>
  <c r="L56" i="7" s="1"/>
  <c r="L50" i="3"/>
  <c r="L44" i="3"/>
  <c r="L27" i="3"/>
  <c r="L21" i="3"/>
  <c r="L15" i="3"/>
  <c r="L3" i="3"/>
  <c r="L43" i="3"/>
  <c r="L28" i="3"/>
  <c r="L26" i="3"/>
  <c r="L26" i="7" s="1"/>
  <c r="L51" i="3"/>
  <c r="L95" i="3"/>
  <c r="L89" i="3"/>
  <c r="L89" i="7" s="1"/>
  <c r="L83" i="3"/>
  <c r="L77" i="3"/>
  <c r="L67" i="3"/>
  <c r="L61" i="3"/>
  <c r="L55" i="3"/>
  <c r="L55" i="7" s="1"/>
  <c r="L49" i="3"/>
  <c r="L20" i="3"/>
  <c r="L12" i="3"/>
  <c r="L45" i="3"/>
  <c r="L45" i="7" s="1"/>
  <c r="L2" i="3"/>
  <c r="L85" i="3"/>
  <c r="L94" i="3"/>
  <c r="L94" i="7" s="1"/>
  <c r="L88" i="3"/>
  <c r="L82" i="3"/>
  <c r="L75" i="3"/>
  <c r="L66" i="3"/>
  <c r="L60" i="3"/>
  <c r="L60" i="7" s="1"/>
  <c r="L54" i="3"/>
  <c r="L48" i="3"/>
  <c r="L42" i="3"/>
  <c r="L25" i="3"/>
  <c r="L25" i="7" s="1"/>
  <c r="L19" i="3"/>
  <c r="L7" i="3"/>
  <c r="L91" i="3"/>
  <c r="L91" i="7" s="1"/>
  <c r="L4" i="3"/>
  <c r="L63" i="3"/>
  <c r="L16" i="3"/>
  <c r="L99" i="3"/>
  <c r="L93" i="3"/>
  <c r="L93" i="7" s="1"/>
  <c r="L87" i="3"/>
  <c r="L81" i="3"/>
  <c r="L74" i="3"/>
  <c r="L65" i="3"/>
  <c r="L65" i="7" s="1"/>
  <c r="L59" i="3"/>
  <c r="L53" i="3"/>
  <c r="L47" i="3"/>
  <c r="L47" i="7" s="1"/>
  <c r="L41" i="3"/>
  <c r="L24" i="3"/>
  <c r="L18" i="3"/>
  <c r="L6" i="3"/>
  <c r="L57" i="3"/>
  <c r="L57" i="7" s="1"/>
  <c r="L79" i="3"/>
  <c r="L98" i="3"/>
  <c r="L92" i="3"/>
  <c r="L86" i="3"/>
  <c r="L86" i="7" s="1"/>
  <c r="L80" i="3"/>
  <c r="L72" i="3"/>
  <c r="L64" i="3"/>
  <c r="L64" i="7" s="1"/>
  <c r="L58" i="3"/>
  <c r="L52" i="3"/>
  <c r="L46" i="3"/>
  <c r="L40" i="3"/>
  <c r="L23" i="3"/>
  <c r="L23" i="7" s="1"/>
  <c r="L17" i="3"/>
  <c r="L5" i="3"/>
  <c r="L71" i="3"/>
  <c r="L22" i="3"/>
  <c r="L22" i="7" s="1"/>
  <c r="L97" i="3"/>
  <c r="J38" i="3" a="1"/>
  <c r="J38" i="3" s="1"/>
  <c r="J38" i="7" s="1"/>
  <c r="J14" i="3" a="1"/>
  <c r="J14" i="3" s="1"/>
  <c r="J14" i="7" s="1"/>
  <c r="J36" i="3" a="1"/>
  <c r="J36" i="3" s="1"/>
  <c r="J36" i="7" s="1"/>
  <c r="J35" i="3" a="1"/>
  <c r="J35" i="3" s="1"/>
  <c r="J35" i="7" s="1"/>
  <c r="J11" i="3" a="1"/>
  <c r="J11" i="3" s="1"/>
  <c r="J11" i="7" s="1"/>
  <c r="J34" i="3" a="1"/>
  <c r="J34" i="3" s="1"/>
  <c r="J34" i="7" s="1"/>
  <c r="J10" i="3" a="1"/>
  <c r="J10" i="3" s="1"/>
  <c r="J10" i="7" s="1"/>
  <c r="J33" i="3" a="1"/>
  <c r="J33" i="3" s="1"/>
  <c r="J33" i="7" s="1"/>
  <c r="J9" i="3" a="1"/>
  <c r="J9" i="3" s="1"/>
  <c r="J9" i="7" s="1"/>
  <c r="J32" i="3" a="1"/>
  <c r="J32" i="3" s="1"/>
  <c r="J32" i="7" s="1"/>
  <c r="J8" i="3" a="1"/>
  <c r="J8" i="3" s="1"/>
  <c r="J8" i="7" s="1"/>
  <c r="J67" i="3"/>
  <c r="J67" i="7" s="1"/>
  <c r="J20" i="3"/>
  <c r="J20" i="7" s="1"/>
  <c r="J83" i="3"/>
  <c r="J83" i="7" s="1"/>
  <c r="J43" i="3"/>
  <c r="J43" i="7" s="1"/>
  <c r="J97" i="3"/>
  <c r="J97" i="7" s="1"/>
  <c r="J93" i="3"/>
  <c r="J93" i="7" s="1"/>
  <c r="J89" i="3"/>
  <c r="J89" i="7" s="1"/>
  <c r="J85" i="3"/>
  <c r="J85" i="7" s="1"/>
  <c r="J81" i="3"/>
  <c r="J81" i="7" s="1"/>
  <c r="J77" i="3"/>
  <c r="J77" i="7" s="1"/>
  <c r="J71" i="3"/>
  <c r="J71" i="7" s="1"/>
  <c r="J65" i="3"/>
  <c r="J65" i="7" s="1"/>
  <c r="J61" i="3"/>
  <c r="J61" i="7" s="1"/>
  <c r="J57" i="3"/>
  <c r="J57" i="7" s="1"/>
  <c r="J53" i="3"/>
  <c r="J53" i="7" s="1"/>
  <c r="J49" i="3"/>
  <c r="J49" i="7" s="1"/>
  <c r="J45" i="3"/>
  <c r="J45" i="7" s="1"/>
  <c r="J41" i="3"/>
  <c r="J41" i="7" s="1"/>
  <c r="J26" i="3"/>
  <c r="J26" i="7" s="1"/>
  <c r="J22" i="3"/>
  <c r="J22" i="7" s="1"/>
  <c r="J18" i="3"/>
  <c r="J18" i="7" s="1"/>
  <c r="J12" i="3"/>
  <c r="J12" i="7" s="1"/>
  <c r="J4" i="3"/>
  <c r="J4" i="7" s="1"/>
  <c r="J63" i="3"/>
  <c r="J63" i="7" s="1"/>
  <c r="J16" i="3"/>
  <c r="J16" i="7" s="1"/>
  <c r="J99" i="3"/>
  <c r="J99" i="7" s="1"/>
  <c r="J24" i="3"/>
  <c r="J24" i="7" s="1"/>
  <c r="J74" i="3"/>
  <c r="J74" i="7" s="1"/>
  <c r="J47" i="3"/>
  <c r="J47" i="7" s="1"/>
  <c r="J6" i="3"/>
  <c r="J6" i="7" s="1"/>
  <c r="J96" i="3"/>
  <c r="J96" i="7" s="1"/>
  <c r="J92" i="3"/>
  <c r="J92" i="7" s="1"/>
  <c r="J88" i="3"/>
  <c r="J88" i="7" s="1"/>
  <c r="J84" i="3"/>
  <c r="J84" i="7" s="1"/>
  <c r="J80" i="3"/>
  <c r="J80" i="7" s="1"/>
  <c r="J75" i="3"/>
  <c r="J75" i="7" s="1"/>
  <c r="J70" i="3"/>
  <c r="J70" i="7" s="1"/>
  <c r="J64" i="3"/>
  <c r="J64" i="7" s="1"/>
  <c r="J60" i="3"/>
  <c r="J60" i="7" s="1"/>
  <c r="J56" i="3"/>
  <c r="J56" i="7" s="1"/>
  <c r="J52" i="3"/>
  <c r="J52" i="7" s="1"/>
  <c r="J48" i="3"/>
  <c r="J48" i="7" s="1"/>
  <c r="J44" i="3"/>
  <c r="J44" i="7" s="1"/>
  <c r="J40" i="3"/>
  <c r="J40" i="7" s="1"/>
  <c r="J25" i="3"/>
  <c r="J25" i="7" s="1"/>
  <c r="J21" i="3"/>
  <c r="J21" i="7" s="1"/>
  <c r="J17" i="3"/>
  <c r="J17" i="7" s="1"/>
  <c r="J7" i="3"/>
  <c r="J7" i="7" s="1"/>
  <c r="J3" i="3"/>
  <c r="J3" i="7" s="1"/>
  <c r="J2" i="3"/>
  <c r="J2" i="7" s="1"/>
  <c r="J91" i="3"/>
  <c r="J91" i="7" s="1"/>
  <c r="J59" i="3"/>
  <c r="J59" i="7" s="1"/>
  <c r="J87" i="3"/>
  <c r="J87" i="7" s="1"/>
  <c r="J51" i="3"/>
  <c r="J51" i="7" s="1"/>
  <c r="J95" i="3"/>
  <c r="J95" i="7" s="1"/>
  <c r="J28" i="3"/>
  <c r="J28" i="7" s="1"/>
  <c r="J98" i="3"/>
  <c r="J98" i="7" s="1"/>
  <c r="J94" i="3"/>
  <c r="J94" i="7" s="1"/>
  <c r="J90" i="3"/>
  <c r="J90" i="7" s="1"/>
  <c r="J86" i="3"/>
  <c r="J86" i="7" s="1"/>
  <c r="J82" i="3"/>
  <c r="J82" i="7" s="1"/>
  <c r="J78" i="3"/>
  <c r="J78" i="7" s="1"/>
  <c r="J72" i="3"/>
  <c r="J72" i="7" s="1"/>
  <c r="J66" i="3"/>
  <c r="J66" i="7" s="1"/>
  <c r="J62" i="3"/>
  <c r="J62" i="7" s="1"/>
  <c r="J58" i="3"/>
  <c r="J58" i="7" s="1"/>
  <c r="J54" i="3"/>
  <c r="J54" i="7" s="1"/>
  <c r="J50" i="3"/>
  <c r="J50" i="7" s="1"/>
  <c r="J46" i="3"/>
  <c r="J46" i="7" s="1"/>
  <c r="J42" i="3"/>
  <c r="J42" i="7" s="1"/>
  <c r="J27" i="3"/>
  <c r="J27" i="7" s="1"/>
  <c r="J23" i="3"/>
  <c r="J23" i="7" s="1"/>
  <c r="J19" i="3"/>
  <c r="J19" i="7" s="1"/>
  <c r="J15" i="3"/>
  <c r="J15" i="7" s="1"/>
  <c r="J5" i="3"/>
  <c r="J5" i="7" s="1"/>
  <c r="J79" i="3"/>
  <c r="J79" i="7" s="1"/>
  <c r="J55" i="3"/>
  <c r="J55" i="7" s="1"/>
  <c r="J30" i="3" a="1"/>
  <c r="J30" i="3" s="1"/>
  <c r="J30" i="7" s="1"/>
  <c r="J29" i="3" a="1"/>
  <c r="J29" i="3" s="1"/>
  <c r="J29" i="7" s="1"/>
  <c r="J39" i="3" a="1"/>
  <c r="J39" i="3" s="1"/>
  <c r="J39" i="7" s="1"/>
  <c r="L12" i="7"/>
  <c r="I98" i="3"/>
  <c r="I95" i="3"/>
  <c r="I92" i="3"/>
  <c r="I92" i="7" s="1"/>
  <c r="I89" i="3"/>
  <c r="I86" i="3"/>
  <c r="I83" i="3"/>
  <c r="I83" i="7" s="1"/>
  <c r="I80" i="3"/>
  <c r="I77" i="3"/>
  <c r="I72" i="3"/>
  <c r="I67" i="3"/>
  <c r="I64" i="3"/>
  <c r="I64" i="7" s="1"/>
  <c r="I61" i="3"/>
  <c r="I58" i="3"/>
  <c r="I55" i="3"/>
  <c r="I52" i="3"/>
  <c r="I52" i="7" s="1"/>
  <c r="I49" i="3"/>
  <c r="I46" i="3"/>
  <c r="I43" i="3"/>
  <c r="I43" i="7" s="1"/>
  <c r="I40" i="3"/>
  <c r="I26" i="3"/>
  <c r="I23" i="3"/>
  <c r="I20" i="3"/>
  <c r="I17" i="3"/>
  <c r="I12" i="3"/>
  <c r="I5" i="3"/>
  <c r="I97" i="3"/>
  <c r="I94" i="3"/>
  <c r="I94" i="7" s="1"/>
  <c r="I91" i="3"/>
  <c r="I88" i="3"/>
  <c r="I85" i="3"/>
  <c r="I85" i="7" s="1"/>
  <c r="I82" i="3"/>
  <c r="I79" i="3"/>
  <c r="I75" i="3"/>
  <c r="I71" i="3"/>
  <c r="I66" i="3"/>
  <c r="I66" i="7" s="1"/>
  <c r="I63" i="3"/>
  <c r="I60" i="3"/>
  <c r="I57" i="3"/>
  <c r="I54" i="3"/>
  <c r="I54" i="7" s="1"/>
  <c r="I51" i="3"/>
  <c r="I48" i="3"/>
  <c r="I45" i="3"/>
  <c r="I45" i="7" s="1"/>
  <c r="I42" i="3"/>
  <c r="I28" i="3"/>
  <c r="I25" i="3"/>
  <c r="I22" i="3"/>
  <c r="I19" i="3"/>
  <c r="I19" i="7" s="1"/>
  <c r="I16" i="3"/>
  <c r="I7" i="3"/>
  <c r="I4" i="3"/>
  <c r="I99" i="3"/>
  <c r="I99" i="7" s="1"/>
  <c r="I96" i="3"/>
  <c r="I93" i="3"/>
  <c r="I90" i="3"/>
  <c r="I90" i="7" s="1"/>
  <c r="I87" i="3"/>
  <c r="I84" i="3"/>
  <c r="I81" i="3"/>
  <c r="I78" i="3"/>
  <c r="I74" i="3"/>
  <c r="I74" i="7" s="1"/>
  <c r="I70" i="3"/>
  <c r="I65" i="3"/>
  <c r="I62" i="3"/>
  <c r="I59" i="3"/>
  <c r="I59" i="7" s="1"/>
  <c r="I56" i="3"/>
  <c r="I53" i="3"/>
  <c r="I50" i="3"/>
  <c r="I50" i="7" s="1"/>
  <c r="I47" i="3"/>
  <c r="I44" i="3"/>
  <c r="I41" i="3"/>
  <c r="I27" i="3"/>
  <c r="I24" i="3"/>
  <c r="I24" i="7" s="1"/>
  <c r="I21" i="3"/>
  <c r="I18" i="3"/>
  <c r="I15" i="3"/>
  <c r="I6" i="3"/>
  <c r="I6" i="7" s="1"/>
  <c r="I3" i="3"/>
  <c r="I2" i="3"/>
  <c r="K13" i="3" a="1"/>
  <c r="K13" i="3" s="1"/>
  <c r="K13" i="7" s="1"/>
  <c r="H89" i="3"/>
  <c r="H77" i="3"/>
  <c r="H61" i="3"/>
  <c r="H49" i="3"/>
  <c r="H26" i="3"/>
  <c r="H26" i="7" s="1"/>
  <c r="H12" i="3"/>
  <c r="H3" i="3"/>
  <c r="H74" i="3"/>
  <c r="H19" i="3"/>
  <c r="H19" i="7" s="1"/>
  <c r="H96" i="3"/>
  <c r="H84" i="3"/>
  <c r="H84" i="7" s="1"/>
  <c r="H70" i="3"/>
  <c r="H70" i="7" s="1"/>
  <c r="H56" i="3"/>
  <c r="H44" i="3"/>
  <c r="H21" i="3"/>
  <c r="H47" i="3"/>
  <c r="H91" i="3"/>
  <c r="H91" i="7" s="1"/>
  <c r="H79" i="3"/>
  <c r="H79" i="7" s="1"/>
  <c r="H63" i="3"/>
  <c r="H51" i="3"/>
  <c r="H28" i="3"/>
  <c r="H28" i="7" s="1"/>
  <c r="H16" i="3"/>
  <c r="H2" i="3"/>
  <c r="H2" i="7" s="1"/>
  <c r="H6" i="3"/>
  <c r="H6" i="7" s="1"/>
  <c r="H98" i="3"/>
  <c r="H86" i="3"/>
  <c r="H72" i="3"/>
  <c r="H58" i="3"/>
  <c r="H46" i="3"/>
  <c r="H46" i="7" s="1"/>
  <c r="H23" i="3"/>
  <c r="H5" i="3"/>
  <c r="H93" i="3"/>
  <c r="H81" i="3"/>
  <c r="H81" i="7" s="1"/>
  <c r="H65" i="3"/>
  <c r="H53" i="3"/>
  <c r="H53" i="7" s="1"/>
  <c r="H41" i="3"/>
  <c r="H41" i="7" s="1"/>
  <c r="H18" i="3"/>
  <c r="H15" i="3"/>
  <c r="H88" i="3"/>
  <c r="H75" i="3"/>
  <c r="H60" i="3"/>
  <c r="H60" i="7" s="1"/>
  <c r="H48" i="3"/>
  <c r="H25" i="3"/>
  <c r="H7" i="3"/>
  <c r="H24" i="3"/>
  <c r="H24" i="7" s="1"/>
  <c r="H94" i="3"/>
  <c r="H66" i="3"/>
  <c r="H66" i="7" s="1"/>
  <c r="H42" i="3"/>
  <c r="H42" i="7" s="1"/>
  <c r="H95" i="3"/>
  <c r="H83" i="3"/>
  <c r="H67" i="3"/>
  <c r="H55" i="3"/>
  <c r="H43" i="3"/>
  <c r="H43" i="7" s="1"/>
  <c r="H20" i="3"/>
  <c r="H27" i="3"/>
  <c r="H59" i="3"/>
  <c r="H54" i="3"/>
  <c r="H54" i="7" s="1"/>
  <c r="H90" i="3"/>
  <c r="H78" i="3"/>
  <c r="H62" i="3"/>
  <c r="H62" i="7" s="1"/>
  <c r="H50" i="3"/>
  <c r="H4" i="3"/>
  <c r="H82" i="3"/>
  <c r="H97" i="3"/>
  <c r="H85" i="3"/>
  <c r="H85" i="7" s="1"/>
  <c r="H71" i="3"/>
  <c r="H57" i="3"/>
  <c r="H45" i="3"/>
  <c r="H22" i="3"/>
  <c r="H22" i="7" s="1"/>
  <c r="H87" i="3"/>
  <c r="H92" i="3"/>
  <c r="H92" i="7" s="1"/>
  <c r="H80" i="3"/>
  <c r="H80" i="7" s="1"/>
  <c r="H64" i="3"/>
  <c r="H52" i="3"/>
  <c r="H40" i="3"/>
  <c r="H17" i="3"/>
  <c r="H99" i="3"/>
  <c r="H99" i="7" s="1"/>
  <c r="I3" i="7"/>
  <c r="G95" i="3"/>
  <c r="G77" i="3"/>
  <c r="G55" i="3"/>
  <c r="G55" i="7" s="1"/>
  <c r="G22" i="3"/>
  <c r="G87" i="3"/>
  <c r="G87" i="7" s="1"/>
  <c r="G61" i="3"/>
  <c r="G61" i="7" s="1"/>
  <c r="G45" i="3"/>
  <c r="G18" i="3"/>
  <c r="G97" i="3"/>
  <c r="G71" i="3"/>
  <c r="G43" i="3"/>
  <c r="G43" i="7" s="1"/>
  <c r="G83" i="3"/>
  <c r="G57" i="3"/>
  <c r="G26" i="3"/>
  <c r="G4" i="3"/>
  <c r="G4" i="7" s="1"/>
  <c r="G81" i="3"/>
  <c r="G65" i="3"/>
  <c r="G65" i="7" s="1"/>
  <c r="G51" i="3"/>
  <c r="G51" i="7" s="1"/>
  <c r="G12" i="3"/>
  <c r="G98" i="3"/>
  <c r="G96" i="3"/>
  <c r="G94" i="3"/>
  <c r="G92" i="3"/>
  <c r="G92" i="7" s="1"/>
  <c r="G90" i="3"/>
  <c r="G88" i="3"/>
  <c r="G86" i="3"/>
  <c r="G84" i="3"/>
  <c r="G84" i="7" s="1"/>
  <c r="G82" i="3"/>
  <c r="G80" i="3"/>
  <c r="G80" i="7" s="1"/>
  <c r="G78" i="3"/>
  <c r="G78" i="7" s="1"/>
  <c r="G75" i="3"/>
  <c r="G72" i="3"/>
  <c r="G70" i="3"/>
  <c r="G66" i="3"/>
  <c r="G64" i="3"/>
  <c r="G64" i="7" s="1"/>
  <c r="G62" i="3"/>
  <c r="G60" i="3"/>
  <c r="G58" i="3"/>
  <c r="G56" i="3"/>
  <c r="G56" i="7" s="1"/>
  <c r="G54" i="3"/>
  <c r="G52" i="3"/>
  <c r="G52" i="7" s="1"/>
  <c r="G50" i="3"/>
  <c r="G50" i="7" s="1"/>
  <c r="G48" i="3"/>
  <c r="G46" i="3"/>
  <c r="G44" i="3"/>
  <c r="G42" i="3"/>
  <c r="G40" i="3"/>
  <c r="G40" i="7" s="1"/>
  <c r="G27" i="3"/>
  <c r="G25" i="3"/>
  <c r="G23" i="3"/>
  <c r="G21" i="3"/>
  <c r="G21" i="7" s="1"/>
  <c r="G19" i="3"/>
  <c r="G17" i="3"/>
  <c r="G17" i="7" s="1"/>
  <c r="G15" i="3"/>
  <c r="G15" i="7" s="1"/>
  <c r="G7" i="3"/>
  <c r="G5" i="3"/>
  <c r="G3" i="3"/>
  <c r="G2" i="3"/>
  <c r="G93" i="3"/>
  <c r="G93" i="7" s="1"/>
  <c r="G79" i="3"/>
  <c r="G53" i="3"/>
  <c r="G24" i="3"/>
  <c r="G85" i="3"/>
  <c r="G85" i="7" s="1"/>
  <c r="G59" i="3"/>
  <c r="G28" i="3"/>
  <c r="G28" i="7" s="1"/>
  <c r="G6" i="3"/>
  <c r="G6" i="7" s="1"/>
  <c r="G99" i="3"/>
  <c r="G74" i="3"/>
  <c r="G41" i="3"/>
  <c r="G89" i="3"/>
  <c r="G63" i="3"/>
  <c r="G63" i="7" s="1"/>
  <c r="G47" i="3"/>
  <c r="G16" i="3"/>
  <c r="G91" i="3"/>
  <c r="G67" i="3"/>
  <c r="G67" i="7" s="1"/>
  <c r="G49" i="3"/>
  <c r="G20" i="3"/>
  <c r="G20" i="7" s="1"/>
  <c r="F99" i="3"/>
  <c r="F99" i="7" s="1"/>
  <c r="F87" i="3"/>
  <c r="F74" i="3"/>
  <c r="F59" i="3"/>
  <c r="F47" i="3"/>
  <c r="F24" i="3"/>
  <c r="F24" i="7" s="1"/>
  <c r="F6" i="3"/>
  <c r="F92" i="3"/>
  <c r="F80" i="3"/>
  <c r="F64" i="3"/>
  <c r="F64" i="7" s="1"/>
  <c r="F52" i="3"/>
  <c r="F40" i="3"/>
  <c r="F40" i="7" s="1"/>
  <c r="F17" i="3"/>
  <c r="F17" i="7" s="1"/>
  <c r="F4" i="3"/>
  <c r="F82" i="3"/>
  <c r="F42" i="3"/>
  <c r="F97" i="3"/>
  <c r="F85" i="3"/>
  <c r="F85" i="7" s="1"/>
  <c r="F71" i="3"/>
  <c r="F57" i="3"/>
  <c r="F45" i="3"/>
  <c r="F22" i="3"/>
  <c r="F22" i="7" s="1"/>
  <c r="F15" i="3"/>
  <c r="F90" i="3"/>
  <c r="F90" i="7" s="1"/>
  <c r="F78" i="3"/>
  <c r="F78" i="7" s="1"/>
  <c r="F62" i="3"/>
  <c r="F50" i="3"/>
  <c r="F27" i="3"/>
  <c r="F95" i="3"/>
  <c r="F83" i="3"/>
  <c r="F83" i="7" s="1"/>
  <c r="F67" i="3"/>
  <c r="F55" i="3"/>
  <c r="F43" i="3"/>
  <c r="F20" i="3"/>
  <c r="F20" i="7" s="1"/>
  <c r="F88" i="3"/>
  <c r="F75" i="3"/>
  <c r="F75" i="7" s="1"/>
  <c r="F60" i="3"/>
  <c r="F60" i="7" s="1"/>
  <c r="F48" i="3"/>
  <c r="F25" i="3"/>
  <c r="F7" i="3"/>
  <c r="F21" i="3"/>
  <c r="F94" i="3"/>
  <c r="F94" i="7" s="1"/>
  <c r="F93" i="3"/>
  <c r="F81" i="3"/>
  <c r="F65" i="3"/>
  <c r="F53" i="3"/>
  <c r="F53" i="7" s="1"/>
  <c r="F41" i="3"/>
  <c r="F18" i="3"/>
  <c r="F18" i="7" s="1"/>
  <c r="F16" i="3"/>
  <c r="F16" i="7" s="1"/>
  <c r="F19" i="3"/>
  <c r="F98" i="3"/>
  <c r="F86" i="3"/>
  <c r="F72" i="3"/>
  <c r="F58" i="3"/>
  <c r="F58" i="7" s="1"/>
  <c r="F46" i="3"/>
  <c r="F23" i="3"/>
  <c r="F5" i="3"/>
  <c r="F54" i="3"/>
  <c r="F54" i="7" s="1"/>
  <c r="F91" i="3"/>
  <c r="F79" i="3"/>
  <c r="F79" i="7" s="1"/>
  <c r="F63" i="3"/>
  <c r="F63" i="7" s="1"/>
  <c r="F51" i="3"/>
  <c r="F28" i="3"/>
  <c r="F96" i="3"/>
  <c r="F84" i="3"/>
  <c r="F70" i="3"/>
  <c r="F70" i="7" s="1"/>
  <c r="F56" i="3"/>
  <c r="F44" i="3"/>
  <c r="F3" i="3"/>
  <c r="F66" i="3"/>
  <c r="F66" i="7" s="1"/>
  <c r="F89" i="3"/>
  <c r="F77" i="3"/>
  <c r="F77" i="7" s="1"/>
  <c r="F61" i="3"/>
  <c r="F61" i="7" s="1"/>
  <c r="F49" i="3"/>
  <c r="F26" i="3"/>
  <c r="F12" i="3"/>
  <c r="F2" i="3"/>
  <c r="D10" i="3"/>
  <c r="D10" i="7" s="1"/>
  <c r="D37" i="3"/>
  <c r="D99" i="3"/>
  <c r="D96" i="3"/>
  <c r="D93" i="3"/>
  <c r="D93" i="7" s="1"/>
  <c r="D90" i="3"/>
  <c r="D87" i="3"/>
  <c r="D87" i="7" s="1"/>
  <c r="D84" i="3"/>
  <c r="D84" i="7" s="1"/>
  <c r="D81" i="3"/>
  <c r="D78" i="3"/>
  <c r="D74" i="3"/>
  <c r="D70" i="3"/>
  <c r="D65" i="3"/>
  <c r="D65" i="7" s="1"/>
  <c r="D62" i="3"/>
  <c r="D59" i="3"/>
  <c r="D56" i="3"/>
  <c r="D56" i="7" s="1"/>
  <c r="D53" i="3"/>
  <c r="D53" i="7" s="1"/>
  <c r="D50" i="3"/>
  <c r="D47" i="3"/>
  <c r="D47" i="7" s="1"/>
  <c r="D44" i="3"/>
  <c r="D44" i="7" s="1"/>
  <c r="D41" i="3"/>
  <c r="D27" i="3"/>
  <c r="D24" i="3"/>
  <c r="D24" i="7" s="1"/>
  <c r="D21" i="3"/>
  <c r="D18" i="3"/>
  <c r="D18" i="7" s="1"/>
  <c r="D15" i="3"/>
  <c r="D6" i="3"/>
  <c r="D3" i="3"/>
  <c r="D11" i="3"/>
  <c r="D11" i="7" s="1"/>
  <c r="D38" i="3"/>
  <c r="D39" i="3"/>
  <c r="D39" i="7" s="1"/>
  <c r="D36" i="3"/>
  <c r="D36" i="7" s="1"/>
  <c r="D13" i="3"/>
  <c r="D14" i="3"/>
  <c r="D68" i="3"/>
  <c r="D68" i="7" s="1"/>
  <c r="D29" i="3"/>
  <c r="D69" i="3"/>
  <c r="D69" i="7" s="1"/>
  <c r="D97" i="3"/>
  <c r="D94" i="3"/>
  <c r="D91" i="3"/>
  <c r="D88" i="3"/>
  <c r="D88" i="7" s="1"/>
  <c r="D85" i="3"/>
  <c r="D82" i="3"/>
  <c r="D82" i="7" s="1"/>
  <c r="D79" i="3"/>
  <c r="D79" i="7" s="1"/>
  <c r="D75" i="3"/>
  <c r="D71" i="3"/>
  <c r="D71" i="7" s="1"/>
  <c r="D66" i="3"/>
  <c r="D66" i="7" s="1"/>
  <c r="D63" i="3"/>
  <c r="D63" i="7" s="1"/>
  <c r="D60" i="3"/>
  <c r="D60" i="7" s="1"/>
  <c r="D57" i="3"/>
  <c r="D54" i="3"/>
  <c r="D54" i="7" s="1"/>
  <c r="D51" i="3"/>
  <c r="D48" i="3"/>
  <c r="D48" i="7" s="1"/>
  <c r="D45" i="3"/>
  <c r="D42" i="3"/>
  <c r="D42" i="7" s="1"/>
  <c r="D28" i="3"/>
  <c r="D28" i="7" s="1"/>
  <c r="D25" i="3"/>
  <c r="D22" i="3"/>
  <c r="D19" i="3"/>
  <c r="D19" i="7" s="1"/>
  <c r="D16" i="3"/>
  <c r="D16" i="7" s="1"/>
  <c r="D7" i="3"/>
  <c r="D7" i="7" s="1"/>
  <c r="D4" i="3"/>
  <c r="D30" i="3"/>
  <c r="D73" i="3"/>
  <c r="D76" i="3"/>
  <c r="D76" i="7" s="1"/>
  <c r="D31" i="3"/>
  <c r="D31" i="7" s="1"/>
  <c r="D32" i="3"/>
  <c r="D32" i="7" s="1"/>
  <c r="D33" i="3"/>
  <c r="D33" i="7" s="1"/>
  <c r="D9" i="3"/>
  <c r="D98" i="3"/>
  <c r="D95" i="3"/>
  <c r="D95" i="7" s="1"/>
  <c r="D92" i="3"/>
  <c r="D92" i="7" s="1"/>
  <c r="D89" i="3"/>
  <c r="D89" i="7" s="1"/>
  <c r="D86" i="3"/>
  <c r="D83" i="3"/>
  <c r="D80" i="3"/>
  <c r="D80" i="7" s="1"/>
  <c r="D77" i="3"/>
  <c r="D77" i="7" s="1"/>
  <c r="D72" i="3"/>
  <c r="D72" i="7" s="1"/>
  <c r="D67" i="3"/>
  <c r="D67" i="7" s="1"/>
  <c r="D64" i="3"/>
  <c r="D64" i="7" s="1"/>
  <c r="D61" i="3"/>
  <c r="D58" i="3"/>
  <c r="D58" i="7" s="1"/>
  <c r="D55" i="3"/>
  <c r="D55" i="7" s="1"/>
  <c r="D52" i="3"/>
  <c r="D52" i="7" s="1"/>
  <c r="D49" i="3"/>
  <c r="D49" i="7" s="1"/>
  <c r="D46" i="3"/>
  <c r="D43" i="3"/>
  <c r="D40" i="3"/>
  <c r="D26" i="3"/>
  <c r="D26" i="7" s="1"/>
  <c r="D23" i="3"/>
  <c r="D23" i="7" s="1"/>
  <c r="D20" i="3"/>
  <c r="D20" i="7" s="1"/>
  <c r="D17" i="3"/>
  <c r="D17" i="7" s="1"/>
  <c r="D12" i="3"/>
  <c r="D5" i="3"/>
  <c r="D2" i="3"/>
  <c r="D34" i="3"/>
  <c r="D34" i="7" s="1"/>
  <c r="D35" i="3"/>
  <c r="D35" i="7" s="1"/>
  <c r="D8" i="3"/>
  <c r="D8" i="7" s="1"/>
  <c r="F6" i="7"/>
  <c r="E58" i="3"/>
  <c r="E99" i="3"/>
  <c r="E99" i="7" s="1"/>
  <c r="E95" i="3"/>
  <c r="E91" i="3"/>
  <c r="E91" i="7" s="1"/>
  <c r="E87" i="3"/>
  <c r="E87" i="7" s="1"/>
  <c r="E83" i="3"/>
  <c r="E79" i="3"/>
  <c r="E74" i="3"/>
  <c r="E74" i="7" s="1"/>
  <c r="E67" i="3"/>
  <c r="E63" i="3"/>
  <c r="E63" i="7" s="1"/>
  <c r="E59" i="3"/>
  <c r="E59" i="7" s="1"/>
  <c r="E55" i="3"/>
  <c r="E51" i="3"/>
  <c r="E47" i="3"/>
  <c r="E47" i="7" s="1"/>
  <c r="E43" i="3"/>
  <c r="E28" i="3"/>
  <c r="E28" i="7" s="1"/>
  <c r="E24" i="3"/>
  <c r="E24" i="7" s="1"/>
  <c r="E20" i="3"/>
  <c r="E16" i="3"/>
  <c r="E6" i="3"/>
  <c r="E6" i="7" s="1"/>
  <c r="E78" i="3"/>
  <c r="E62" i="3"/>
  <c r="E62" i="7" s="1"/>
  <c r="E72" i="3"/>
  <c r="E72" i="7" s="1"/>
  <c r="E96" i="3"/>
  <c r="E92" i="3"/>
  <c r="E88" i="3"/>
  <c r="E88" i="7" s="1"/>
  <c r="E84" i="3"/>
  <c r="E80" i="3"/>
  <c r="E80" i="7" s="1"/>
  <c r="E75" i="3"/>
  <c r="E75" i="7" s="1"/>
  <c r="E70" i="3"/>
  <c r="E64" i="3"/>
  <c r="E60" i="3"/>
  <c r="E60" i="7" s="1"/>
  <c r="E56" i="3"/>
  <c r="E52" i="3"/>
  <c r="E52" i="7" s="1"/>
  <c r="E48" i="3"/>
  <c r="E48" i="7" s="1"/>
  <c r="E44" i="3"/>
  <c r="E40" i="3"/>
  <c r="E25" i="3"/>
  <c r="E25" i="7" s="1"/>
  <c r="E21" i="3"/>
  <c r="E17" i="3"/>
  <c r="E17" i="7" s="1"/>
  <c r="E7" i="3"/>
  <c r="E7" i="7" s="1"/>
  <c r="E3" i="3"/>
  <c r="E27" i="3"/>
  <c r="E15" i="3"/>
  <c r="E94" i="3"/>
  <c r="E42" i="3"/>
  <c r="E42" i="7" s="1"/>
  <c r="E19" i="3"/>
  <c r="E19" i="7" s="1"/>
  <c r="E2" i="3"/>
  <c r="E90" i="3"/>
  <c r="E97" i="3"/>
  <c r="E97" i="7" s="1"/>
  <c r="E93" i="3"/>
  <c r="E89" i="3"/>
  <c r="E89" i="7" s="1"/>
  <c r="E85" i="3"/>
  <c r="E85" i="7" s="1"/>
  <c r="E81" i="3"/>
  <c r="E77" i="3"/>
  <c r="E71" i="3"/>
  <c r="E71" i="7" s="1"/>
  <c r="E65" i="3"/>
  <c r="E65" i="7" s="1"/>
  <c r="E61" i="3"/>
  <c r="E61" i="7" s="1"/>
  <c r="E57" i="3"/>
  <c r="E57" i="7" s="1"/>
  <c r="E53" i="3"/>
  <c r="E49" i="3"/>
  <c r="E45" i="3"/>
  <c r="E45" i="7" s="1"/>
  <c r="E41" i="3"/>
  <c r="E26" i="3"/>
  <c r="E26" i="7" s="1"/>
  <c r="E22" i="3"/>
  <c r="E22" i="7" s="1"/>
  <c r="E18" i="3"/>
  <c r="E12" i="3"/>
  <c r="E4" i="3"/>
  <c r="E4" i="7" s="1"/>
  <c r="E98" i="3"/>
  <c r="E82" i="3"/>
  <c r="E82" i="7" s="1"/>
  <c r="E46" i="3"/>
  <c r="E46" i="7" s="1"/>
  <c r="E54" i="3"/>
  <c r="E5" i="3"/>
  <c r="E5" i="7" s="1"/>
  <c r="E86" i="3"/>
  <c r="E86" i="7" s="1"/>
  <c r="E50" i="3"/>
  <c r="E50" i="7" s="1"/>
  <c r="E66" i="3"/>
  <c r="E66" i="7" s="1"/>
  <c r="E23" i="3"/>
  <c r="E23" i="7" s="1"/>
  <c r="D91" i="7"/>
  <c r="D43" i="7"/>
  <c r="D90" i="7"/>
  <c r="D78" i="7"/>
  <c r="D30" i="7"/>
  <c r="D6" i="7"/>
  <c r="D41" i="7"/>
  <c r="D29" i="7"/>
  <c r="D5" i="7"/>
  <c r="D40" i="7"/>
  <c r="D4" i="7"/>
  <c r="D99" i="7"/>
  <c r="D75" i="7"/>
  <c r="D51" i="7"/>
  <c r="D27" i="7"/>
  <c r="D15" i="7"/>
  <c r="D3" i="7"/>
  <c r="D98" i="7"/>
  <c r="D86" i="7"/>
  <c r="D74" i="7"/>
  <c r="D62" i="7"/>
  <c r="D50" i="7"/>
  <c r="D38" i="7"/>
  <c r="D14" i="7"/>
  <c r="D97" i="7"/>
  <c r="D85" i="7"/>
  <c r="D73" i="7"/>
  <c r="D61" i="7"/>
  <c r="D37" i="7"/>
  <c r="D25" i="7"/>
  <c r="D13" i="7"/>
  <c r="D96" i="7"/>
  <c r="D12" i="7"/>
  <c r="D83" i="7"/>
  <c r="D59" i="7"/>
  <c r="D94" i="7"/>
  <c r="D70" i="7"/>
  <c r="D46" i="7"/>
  <c r="D22" i="7"/>
  <c r="D81" i="7"/>
  <c r="D57" i="7"/>
  <c r="D45" i="7"/>
  <c r="D21" i="7"/>
  <c r="D9" i="7"/>
  <c r="G5" i="7"/>
  <c r="H90" i="7"/>
  <c r="H78" i="7"/>
  <c r="H30" i="3" a="1"/>
  <c r="H30" i="3" s="1"/>
  <c r="H30" i="7" s="1"/>
  <c r="H18" i="7"/>
  <c r="H89" i="7"/>
  <c r="H77" i="7"/>
  <c r="H65" i="7"/>
  <c r="H29" i="3" a="1"/>
  <c r="H29" i="3" s="1"/>
  <c r="H29" i="7" s="1"/>
  <c r="H17" i="7"/>
  <c r="H5" i="7"/>
  <c r="H55" i="7"/>
  <c r="H88" i="7"/>
  <c r="H76" i="3" a="1"/>
  <c r="H76" i="3" s="1"/>
  <c r="H76" i="7" s="1"/>
  <c r="H64" i="7"/>
  <c r="H52" i="7"/>
  <c r="H40" i="7"/>
  <c r="H16" i="7"/>
  <c r="H4" i="7"/>
  <c r="H87" i="7"/>
  <c r="H75" i="7"/>
  <c r="H63" i="7"/>
  <c r="H51" i="7"/>
  <c r="H39" i="3" a="1"/>
  <c r="H39" i="3" s="1"/>
  <c r="H39" i="7" s="1"/>
  <c r="H27" i="7"/>
  <c r="H15" i="7"/>
  <c r="H3" i="7"/>
  <c r="H98" i="7"/>
  <c r="H86" i="7"/>
  <c r="H74" i="7"/>
  <c r="H50" i="7"/>
  <c r="H38" i="3" a="1"/>
  <c r="H38" i="3" s="1"/>
  <c r="H38" i="7" s="1"/>
  <c r="H14" i="3" a="1"/>
  <c r="H14" i="3" s="1"/>
  <c r="H14" i="7" s="1"/>
  <c r="H97" i="7"/>
  <c r="H73" i="3" a="1"/>
  <c r="H73" i="3" s="1"/>
  <c r="H73" i="7" s="1"/>
  <c r="H61" i="7"/>
  <c r="H49" i="7"/>
  <c r="H37" i="3" a="1"/>
  <c r="H37" i="3" s="1"/>
  <c r="H37" i="7" s="1"/>
  <c r="H25" i="7"/>
  <c r="H13" i="3" a="1"/>
  <c r="H13" i="3" s="1"/>
  <c r="H13" i="7" s="1"/>
  <c r="H31" i="3" a="1"/>
  <c r="H31" i="3" s="1"/>
  <c r="H31" i="7" s="1"/>
  <c r="H96" i="7"/>
  <c r="H72" i="7"/>
  <c r="H48" i="7"/>
  <c r="H36" i="3" a="1"/>
  <c r="H36" i="3" s="1"/>
  <c r="H36" i="7" s="1"/>
  <c r="H12" i="7"/>
  <c r="H67" i="7"/>
  <c r="H7" i="7"/>
  <c r="H95" i="7"/>
  <c r="H83" i="7"/>
  <c r="H71" i="7"/>
  <c r="H59" i="7"/>
  <c r="H47" i="7"/>
  <c r="H35" i="3" a="1"/>
  <c r="H35" i="3" s="1"/>
  <c r="H35" i="7" s="1"/>
  <c r="H23" i="7"/>
  <c r="H11" i="3" a="1"/>
  <c r="H11" i="3" s="1"/>
  <c r="H11" i="7" s="1"/>
  <c r="H94" i="7"/>
  <c r="H82" i="7"/>
  <c r="H58" i="7"/>
  <c r="H34" i="3" a="1"/>
  <c r="H34" i="3" s="1"/>
  <c r="H34" i="7" s="1"/>
  <c r="H10" i="3" a="1"/>
  <c r="H10" i="3" s="1"/>
  <c r="H10" i="7" s="1"/>
  <c r="H93" i="7"/>
  <c r="H69" i="3" a="1"/>
  <c r="H69" i="3" s="1"/>
  <c r="H69" i="7" s="1"/>
  <c r="H57" i="7"/>
  <c r="H45" i="7"/>
  <c r="H33" i="3" a="1"/>
  <c r="H33" i="3" s="1"/>
  <c r="H33" i="7" s="1"/>
  <c r="H21" i="7"/>
  <c r="H9" i="3" a="1"/>
  <c r="H9" i="3" s="1"/>
  <c r="H9" i="7" s="1"/>
  <c r="H68" i="3" a="1"/>
  <c r="H68" i="3" s="1"/>
  <c r="H68" i="7" s="1"/>
  <c r="H56" i="7"/>
  <c r="H44" i="7"/>
  <c r="H32" i="3" a="1"/>
  <c r="H32" i="3" s="1"/>
  <c r="H32" i="7" s="1"/>
  <c r="H20" i="7"/>
  <c r="H8" i="3" a="1"/>
  <c r="H8" i="3" s="1"/>
  <c r="H8" i="7" s="1"/>
  <c r="F39" i="3" a="1"/>
  <c r="F39" i="3" s="1"/>
  <c r="F39" i="7" s="1"/>
  <c r="F27" i="7"/>
  <c r="L9" i="3" a="1"/>
  <c r="L9" i="3" s="1"/>
  <c r="L9" i="7" s="1"/>
  <c r="K34" i="3" a="1"/>
  <c r="K34" i="3" s="1"/>
  <c r="K34" i="7" s="1"/>
  <c r="K32" i="3" a="1"/>
  <c r="K32" i="3" s="1"/>
  <c r="K32" i="7" s="1"/>
  <c r="K22" i="7"/>
  <c r="I12" i="7"/>
  <c r="F15" i="7"/>
  <c r="K20" i="7"/>
  <c r="F3" i="7"/>
  <c r="K10" i="3" a="1"/>
  <c r="K10" i="3" s="1"/>
  <c r="K10" i="7" s="1"/>
  <c r="G98" i="7"/>
  <c r="K80" i="7"/>
  <c r="K8" i="3" a="1"/>
  <c r="K8" i="3" s="1"/>
  <c r="K8" i="7" s="1"/>
  <c r="G86" i="7"/>
  <c r="I2" i="7"/>
  <c r="L81" i="7"/>
  <c r="K70" i="7"/>
  <c r="G74" i="7"/>
  <c r="L69" i="3" a="1"/>
  <c r="L69" i="3" s="1"/>
  <c r="L69" i="7" s="1"/>
  <c r="K68" i="3" a="1"/>
  <c r="K68" i="3" s="1"/>
  <c r="K68" i="7" s="1"/>
  <c r="I96" i="7"/>
  <c r="K58" i="7"/>
  <c r="I84" i="7"/>
  <c r="F87" i="7"/>
  <c r="K56" i="7"/>
  <c r="I72" i="7"/>
  <c r="L33" i="3" a="1"/>
  <c r="L33" i="3" s="1"/>
  <c r="L33" i="7" s="1"/>
  <c r="K46" i="7"/>
  <c r="I60" i="7"/>
  <c r="I36" i="3" a="1"/>
  <c r="I36" i="3" s="1"/>
  <c r="I36" i="7" s="1"/>
  <c r="F2" i="7"/>
  <c r="L21" i="7"/>
  <c r="K44" i="7"/>
  <c r="I48" i="7"/>
  <c r="F51" i="7"/>
  <c r="L95" i="7"/>
  <c r="L83" i="7"/>
  <c r="L71" i="7"/>
  <c r="L59" i="7"/>
  <c r="L35" i="3" a="1"/>
  <c r="L35" i="3" s="1"/>
  <c r="L35" i="7" s="1"/>
  <c r="L11" i="3" a="1"/>
  <c r="L11" i="3" s="1"/>
  <c r="L11" i="7" s="1"/>
  <c r="K96" i="7"/>
  <c r="K84" i="7"/>
  <c r="K72" i="7"/>
  <c r="K60" i="7"/>
  <c r="K48" i="7"/>
  <c r="K36" i="3" a="1"/>
  <c r="K36" i="3" s="1"/>
  <c r="K36" i="7" s="1"/>
  <c r="K24" i="7"/>
  <c r="K12" i="7"/>
  <c r="I98" i="7"/>
  <c r="I86" i="7"/>
  <c r="I62" i="7"/>
  <c r="I38" i="3" a="1"/>
  <c r="I38" i="3" s="1"/>
  <c r="I38" i="7" s="1"/>
  <c r="I26" i="7"/>
  <c r="I14" i="3" a="1"/>
  <c r="I14" i="3" s="1"/>
  <c r="I14" i="7" s="1"/>
  <c r="G88" i="7"/>
  <c r="G76" i="3" a="1"/>
  <c r="G76" i="3" s="1"/>
  <c r="G76" i="7" s="1"/>
  <c r="G16" i="7"/>
  <c r="F89" i="7"/>
  <c r="F65" i="7"/>
  <c r="F41" i="7"/>
  <c r="F29" i="3" a="1"/>
  <c r="F29" i="3" s="1"/>
  <c r="F29" i="7" s="1"/>
  <c r="F5" i="7"/>
  <c r="E90" i="7"/>
  <c r="E78" i="7"/>
  <c r="E54" i="7"/>
  <c r="E30" i="3" a="1"/>
  <c r="E30" i="3" s="1"/>
  <c r="E30" i="7" s="1"/>
  <c r="E18" i="7"/>
  <c r="L82" i="7"/>
  <c r="L70" i="7"/>
  <c r="L58" i="7"/>
  <c r="L46" i="7"/>
  <c r="L34" i="3" a="1"/>
  <c r="L34" i="3" s="1"/>
  <c r="L34" i="7" s="1"/>
  <c r="L10" i="3" a="1"/>
  <c r="L10" i="3" s="1"/>
  <c r="L10" i="7" s="1"/>
  <c r="K95" i="7"/>
  <c r="K83" i="7"/>
  <c r="K71" i="7"/>
  <c r="K47" i="7"/>
  <c r="K35" i="3" a="1"/>
  <c r="K35" i="3" s="1"/>
  <c r="K35" i="7" s="1"/>
  <c r="K23" i="7"/>
  <c r="K11" i="3" a="1"/>
  <c r="K11" i="3" s="1"/>
  <c r="K11" i="7" s="1"/>
  <c r="I97" i="7"/>
  <c r="I73" i="3" a="1"/>
  <c r="I73" i="3" s="1"/>
  <c r="I73" i="7" s="1"/>
  <c r="I61" i="7"/>
  <c r="I49" i="7"/>
  <c r="I37" i="3" a="1"/>
  <c r="I37" i="3" s="1"/>
  <c r="I37" i="7" s="1"/>
  <c r="I25" i="7"/>
  <c r="I13" i="3" a="1"/>
  <c r="I13" i="3" s="1"/>
  <c r="I13" i="7" s="1"/>
  <c r="G99" i="7"/>
  <c r="G75" i="7"/>
  <c r="G39" i="3" a="1"/>
  <c r="G39" i="3" s="1"/>
  <c r="G39" i="7" s="1"/>
  <c r="G27" i="7"/>
  <c r="G3" i="7"/>
  <c r="F88" i="7"/>
  <c r="F76" i="3" a="1"/>
  <c r="F76" i="3" s="1"/>
  <c r="F76" i="7" s="1"/>
  <c r="F52" i="7"/>
  <c r="F28" i="7"/>
  <c r="F4" i="7"/>
  <c r="E77" i="7"/>
  <c r="E53" i="7"/>
  <c r="E41" i="7"/>
  <c r="E29" i="3" a="1"/>
  <c r="E29" i="3" s="1"/>
  <c r="E29" i="7" s="1"/>
  <c r="G62" i="7"/>
  <c r="G38" i="3" a="1"/>
  <c r="G38" i="3" s="1"/>
  <c r="G38" i="7" s="1"/>
  <c r="G26" i="7"/>
  <c r="G14" i="3" a="1"/>
  <c r="G14" i="3" s="1"/>
  <c r="G14" i="7" s="1"/>
  <c r="E76" i="3" a="1"/>
  <c r="E76" i="3" s="1"/>
  <c r="E76" i="7" s="1"/>
  <c r="E64" i="7"/>
  <c r="E40" i="7"/>
  <c r="E16" i="7"/>
  <c r="L92" i="7"/>
  <c r="L80" i="7"/>
  <c r="L68" i="3" a="1"/>
  <c r="L68" i="3" s="1"/>
  <c r="L68" i="7" s="1"/>
  <c r="L44" i="7"/>
  <c r="L32" i="3" a="1"/>
  <c r="L32" i="3" s="1"/>
  <c r="L32" i="7" s="1"/>
  <c r="L20" i="7"/>
  <c r="L8" i="3" a="1"/>
  <c r="L8" i="3" s="1"/>
  <c r="L8" i="7" s="1"/>
  <c r="K93" i="7"/>
  <c r="K81" i="7"/>
  <c r="K69" i="3" a="1"/>
  <c r="K69" i="3" s="1"/>
  <c r="K69" i="7" s="1"/>
  <c r="K45" i="7"/>
  <c r="K33" i="3" a="1"/>
  <c r="K33" i="3" s="1"/>
  <c r="K33" i="7" s="1"/>
  <c r="K21" i="7"/>
  <c r="K9" i="3" a="1"/>
  <c r="K9" i="3" s="1"/>
  <c r="K9" i="7" s="1"/>
  <c r="I95" i="7"/>
  <c r="I71" i="7"/>
  <c r="I47" i="7"/>
  <c r="I35" i="3" a="1"/>
  <c r="I35" i="3" s="1"/>
  <c r="I35" i="7" s="1"/>
  <c r="I23" i="7"/>
  <c r="I11" i="3" a="1"/>
  <c r="I11" i="3" s="1"/>
  <c r="I11" i="7" s="1"/>
  <c r="G97" i="7"/>
  <c r="G73" i="3" a="1"/>
  <c r="G73" i="3" s="1"/>
  <c r="G73" i="7" s="1"/>
  <c r="G49" i="7"/>
  <c r="G37" i="3" a="1"/>
  <c r="G37" i="3" s="1"/>
  <c r="G37" i="7" s="1"/>
  <c r="G25" i="7"/>
  <c r="G13" i="3" a="1"/>
  <c r="G13" i="3" s="1"/>
  <c r="G13" i="7" s="1"/>
  <c r="F98" i="7"/>
  <c r="F86" i="7"/>
  <c r="F74" i="7"/>
  <c r="F62" i="7"/>
  <c r="F50" i="7"/>
  <c r="F38" i="3" a="1"/>
  <c r="F38" i="3" s="1"/>
  <c r="F38" i="7" s="1"/>
  <c r="F26" i="7"/>
  <c r="F14" i="3" a="1"/>
  <c r="F14" i="3" s="1"/>
  <c r="F14" i="7" s="1"/>
  <c r="E51" i="7"/>
  <c r="E39" i="3" a="1"/>
  <c r="E39" i="3" s="1"/>
  <c r="E39" i="7" s="1"/>
  <c r="E27" i="7"/>
  <c r="E15" i="7"/>
  <c r="E3" i="7"/>
  <c r="I82" i="7"/>
  <c r="I70" i="7"/>
  <c r="I58" i="7"/>
  <c r="I46" i="7"/>
  <c r="I34" i="3" a="1"/>
  <c r="I34" i="3" s="1"/>
  <c r="I34" i="7" s="1"/>
  <c r="I22" i="7"/>
  <c r="I10" i="3" a="1"/>
  <c r="I10" i="3" s="1"/>
  <c r="I10" i="7" s="1"/>
  <c r="G96" i="7"/>
  <c r="G72" i="7"/>
  <c r="G60" i="7"/>
  <c r="G48" i="7"/>
  <c r="G36" i="3" a="1"/>
  <c r="G36" i="3" s="1"/>
  <c r="G36" i="7" s="1"/>
  <c r="G24" i="7"/>
  <c r="G12" i="7"/>
  <c r="F97" i="7"/>
  <c r="F73" i="3" a="1"/>
  <c r="F73" i="3" s="1"/>
  <c r="F73" i="7" s="1"/>
  <c r="F49" i="7"/>
  <c r="F37" i="3" a="1"/>
  <c r="F37" i="3" s="1"/>
  <c r="F37" i="7" s="1"/>
  <c r="F25" i="7"/>
  <c r="F13" i="3" a="1"/>
  <c r="F13" i="3" s="1"/>
  <c r="F13" i="7" s="1"/>
  <c r="E98" i="7"/>
  <c r="E38" i="3" a="1"/>
  <c r="E38" i="3" s="1"/>
  <c r="E38" i="7" s="1"/>
  <c r="E14" i="3" a="1"/>
  <c r="E14" i="3" s="1"/>
  <c r="E14" i="7" s="1"/>
  <c r="L19" i="7"/>
  <c r="L90" i="7"/>
  <c r="L66" i="7"/>
  <c r="L54" i="7"/>
  <c r="L42" i="7"/>
  <c r="L30" i="3" a="1"/>
  <c r="L30" i="3" s="1"/>
  <c r="L30" i="7" s="1"/>
  <c r="L18" i="7"/>
  <c r="L6" i="7"/>
  <c r="K91" i="7"/>
  <c r="K79" i="7"/>
  <c r="K55" i="7"/>
  <c r="K43" i="7"/>
  <c r="K31" i="3" a="1"/>
  <c r="K31" i="3" s="1"/>
  <c r="K31" i="7" s="1"/>
  <c r="K19" i="7"/>
  <c r="K7" i="7"/>
  <c r="I93" i="7"/>
  <c r="I81" i="7"/>
  <c r="I69" i="3" a="1"/>
  <c r="I69" i="3" s="1"/>
  <c r="I69" i="7" s="1"/>
  <c r="I57" i="7"/>
  <c r="I33" i="3" a="1"/>
  <c r="I33" i="3" s="1"/>
  <c r="I33" i="7" s="1"/>
  <c r="I21" i="7"/>
  <c r="I9" i="3" a="1"/>
  <c r="I9" i="3" s="1"/>
  <c r="I9" i="7" s="1"/>
  <c r="G95" i="7"/>
  <c r="G83" i="7"/>
  <c r="G71" i="7"/>
  <c r="G59" i="7"/>
  <c r="G47" i="7"/>
  <c r="G35" i="3" a="1"/>
  <c r="G35" i="3" s="1"/>
  <c r="G35" i="7" s="1"/>
  <c r="G23" i="7"/>
  <c r="G11" i="3" a="1"/>
  <c r="G11" i="3" s="1"/>
  <c r="G11" i="7" s="1"/>
  <c r="F96" i="7"/>
  <c r="F84" i="7"/>
  <c r="F72" i="7"/>
  <c r="F48" i="7"/>
  <c r="F36" i="3" a="1"/>
  <c r="F36" i="3" s="1"/>
  <c r="F36" i="7" s="1"/>
  <c r="F12" i="7"/>
  <c r="E73" i="3" a="1"/>
  <c r="E73" i="3" s="1"/>
  <c r="E73" i="7" s="1"/>
  <c r="E49" i="7"/>
  <c r="E37" i="3" a="1"/>
  <c r="E37" i="3" s="1"/>
  <c r="E37" i="7" s="1"/>
  <c r="E13" i="3" a="1"/>
  <c r="E13" i="3" s="1"/>
  <c r="E13" i="7" s="1"/>
  <c r="L77" i="7"/>
  <c r="L53" i="7"/>
  <c r="L41" i="7"/>
  <c r="L29" i="3" a="1"/>
  <c r="L29" i="3" s="1"/>
  <c r="L29" i="7" s="1"/>
  <c r="L17" i="7"/>
  <c r="L5" i="7"/>
  <c r="K78" i="7"/>
  <c r="K66" i="7"/>
  <c r="K54" i="7"/>
  <c r="K42" i="7"/>
  <c r="K30" i="3" a="1"/>
  <c r="K30" i="3" s="1"/>
  <c r="K30" i="7" s="1"/>
  <c r="K18" i="7"/>
  <c r="K6" i="7"/>
  <c r="I80" i="7"/>
  <c r="I68" i="3" a="1"/>
  <c r="I68" i="3" s="1"/>
  <c r="I68" i="7" s="1"/>
  <c r="I56" i="7"/>
  <c r="I44" i="7"/>
  <c r="I32" i="3" a="1"/>
  <c r="I32" i="3" s="1"/>
  <c r="I32" i="7" s="1"/>
  <c r="I20" i="7"/>
  <c r="I8" i="3" a="1"/>
  <c r="I8" i="3" s="1"/>
  <c r="I8" i="7" s="1"/>
  <c r="G94" i="7"/>
  <c r="G82" i="7"/>
  <c r="G70" i="7"/>
  <c r="G58" i="7"/>
  <c r="G46" i="7"/>
  <c r="G34" i="3" a="1"/>
  <c r="G34" i="3" s="1"/>
  <c r="G34" i="7" s="1"/>
  <c r="G22" i="7"/>
  <c r="G10" i="3" a="1"/>
  <c r="G10" i="3" s="1"/>
  <c r="G10" i="7" s="1"/>
  <c r="F95" i="7"/>
  <c r="F71" i="7"/>
  <c r="F59" i="7"/>
  <c r="F47" i="7"/>
  <c r="F35" i="3" a="1"/>
  <c r="F35" i="3" s="1"/>
  <c r="F35" i="7" s="1"/>
  <c r="F23" i="7"/>
  <c r="F11" i="3" a="1"/>
  <c r="F11" i="3" s="1"/>
  <c r="F11" i="7" s="1"/>
  <c r="E96" i="7"/>
  <c r="E84" i="7"/>
  <c r="E36" i="3" a="1"/>
  <c r="E36" i="3" s="1"/>
  <c r="E36" i="7" s="1"/>
  <c r="E12" i="7"/>
  <c r="L67" i="7"/>
  <c r="L31" i="3" a="1"/>
  <c r="L31" i="3" s="1"/>
  <c r="L31" i="7" s="1"/>
  <c r="L88" i="7"/>
  <c r="L76" i="3" a="1"/>
  <c r="L76" i="3" s="1"/>
  <c r="L76" i="7" s="1"/>
  <c r="L52" i="7"/>
  <c r="L40" i="7"/>
  <c r="L28" i="7"/>
  <c r="L16" i="7"/>
  <c r="L4" i="7"/>
  <c r="K89" i="7"/>
  <c r="K77" i="7"/>
  <c r="K65" i="7"/>
  <c r="K53" i="7"/>
  <c r="K41" i="7"/>
  <c r="K29" i="3" a="1"/>
  <c r="K29" i="3" s="1"/>
  <c r="K29" i="7" s="1"/>
  <c r="K17" i="7"/>
  <c r="K5" i="7"/>
  <c r="I91" i="7"/>
  <c r="I79" i="7"/>
  <c r="I67" i="7"/>
  <c r="I55" i="7"/>
  <c r="I31" i="3" a="1"/>
  <c r="I31" i="3" s="1"/>
  <c r="I31" i="7" s="1"/>
  <c r="I7" i="7"/>
  <c r="G81" i="7"/>
  <c r="G69" i="3" a="1"/>
  <c r="G69" i="3" s="1"/>
  <c r="G69" i="7" s="1"/>
  <c r="G57" i="7"/>
  <c r="G45" i="7"/>
  <c r="G33" i="3" a="1"/>
  <c r="G33" i="3" s="1"/>
  <c r="G33" i="7" s="1"/>
  <c r="G9" i="3" a="1"/>
  <c r="G9" i="3" s="1"/>
  <c r="G9" i="7" s="1"/>
  <c r="F82" i="7"/>
  <c r="F46" i="7"/>
  <c r="F34" i="3" a="1"/>
  <c r="F34" i="3" s="1"/>
  <c r="F34" i="7" s="1"/>
  <c r="F10" i="3" a="1"/>
  <c r="F10" i="3" s="1"/>
  <c r="F10" i="7" s="1"/>
  <c r="E95" i="7"/>
  <c r="E83" i="7"/>
  <c r="E35" i="3" a="1"/>
  <c r="E35" i="3" s="1"/>
  <c r="E35" i="7" s="1"/>
  <c r="E11" i="3" a="1"/>
  <c r="E11" i="3" s="1"/>
  <c r="E11" i="7" s="1"/>
  <c r="L79" i="7"/>
  <c r="L43" i="7"/>
  <c r="L7" i="7"/>
  <c r="G2" i="7"/>
  <c r="L99" i="7"/>
  <c r="L87" i="7"/>
  <c r="L75" i="7"/>
  <c r="L63" i="7"/>
  <c r="L51" i="7"/>
  <c r="L39" i="3" a="1"/>
  <c r="L39" i="3" s="1"/>
  <c r="L39" i="7" s="1"/>
  <c r="L27" i="7"/>
  <c r="L15" i="7"/>
  <c r="L3" i="7"/>
  <c r="K88" i="7"/>
  <c r="K76" i="3" a="1"/>
  <c r="K76" i="3" s="1"/>
  <c r="K76" i="7" s="1"/>
  <c r="K64" i="7"/>
  <c r="K40" i="7"/>
  <c r="K28" i="7"/>
  <c r="K16" i="7"/>
  <c r="K4" i="7"/>
  <c r="I78" i="7"/>
  <c r="I42" i="7"/>
  <c r="I30" i="3" a="1"/>
  <c r="I30" i="3" s="1"/>
  <c r="I30" i="7" s="1"/>
  <c r="I18" i="7"/>
  <c r="G68" i="3" a="1"/>
  <c r="G68" i="3" s="1"/>
  <c r="G68" i="7" s="1"/>
  <c r="G44" i="7"/>
  <c r="G32" i="3" a="1"/>
  <c r="G32" i="3" s="1"/>
  <c r="G32" i="7" s="1"/>
  <c r="G8" i="3" a="1"/>
  <c r="G8" i="3" s="1"/>
  <c r="G8" i="7" s="1"/>
  <c r="F93" i="7"/>
  <c r="F81" i="7"/>
  <c r="F69" i="3" a="1"/>
  <c r="F69" i="3" s="1"/>
  <c r="F69" i="7" s="1"/>
  <c r="F57" i="7"/>
  <c r="F45" i="7"/>
  <c r="F33" i="3" a="1"/>
  <c r="F33" i="3" s="1"/>
  <c r="F33" i="7" s="1"/>
  <c r="F21" i="7"/>
  <c r="F9" i="3" a="1"/>
  <c r="F9" i="3" s="1"/>
  <c r="F9" i="7" s="1"/>
  <c r="E94" i="7"/>
  <c r="E70" i="7"/>
  <c r="E58" i="7"/>
  <c r="E34" i="3" a="1"/>
  <c r="E34" i="3" s="1"/>
  <c r="E34" i="7" s="1"/>
  <c r="E10" i="3" a="1"/>
  <c r="E10" i="3" s="1"/>
  <c r="E10" i="7" s="1"/>
  <c r="K87" i="7"/>
  <c r="K75" i="7"/>
  <c r="K63" i="7"/>
  <c r="K51" i="7"/>
  <c r="K39" i="3" a="1"/>
  <c r="K39" i="3" s="1"/>
  <c r="K39" i="7" s="1"/>
  <c r="K27" i="7"/>
  <c r="K15" i="7"/>
  <c r="K3" i="7"/>
  <c r="I89" i="7"/>
  <c r="I77" i="7"/>
  <c r="I65" i="7"/>
  <c r="I53" i="7"/>
  <c r="I41" i="7"/>
  <c r="I29" i="3" a="1"/>
  <c r="I29" i="3" s="1"/>
  <c r="I29" i="7" s="1"/>
  <c r="I17" i="7"/>
  <c r="I5" i="7"/>
  <c r="G91" i="7"/>
  <c r="G79" i="7"/>
  <c r="G31" i="3" a="1"/>
  <c r="G31" i="3" s="1"/>
  <c r="G31" i="7" s="1"/>
  <c r="G19" i="7"/>
  <c r="G7" i="7"/>
  <c r="F92" i="7"/>
  <c r="F80" i="7"/>
  <c r="F68" i="3" a="1"/>
  <c r="F68" i="3" s="1"/>
  <c r="F68" i="7" s="1"/>
  <c r="F56" i="7"/>
  <c r="F44" i="7"/>
  <c r="F32" i="3" a="1"/>
  <c r="F32" i="3" s="1"/>
  <c r="F32" i="7" s="1"/>
  <c r="F8" i="3" a="1"/>
  <c r="F8" i="3" s="1"/>
  <c r="F8" i="7" s="1"/>
  <c r="E93" i="7"/>
  <c r="E81" i="7"/>
  <c r="E69" i="3" a="1"/>
  <c r="E69" i="3" s="1"/>
  <c r="E69" i="7" s="1"/>
  <c r="E33" i="3" a="1"/>
  <c r="E33" i="3" s="1"/>
  <c r="E33" i="7" s="1"/>
  <c r="E21" i="7"/>
  <c r="E9" i="3" a="1"/>
  <c r="E9" i="3" s="1"/>
  <c r="E9" i="7" s="1"/>
  <c r="L62" i="7"/>
  <c r="L50" i="7"/>
  <c r="L14" i="3" a="1"/>
  <c r="L14" i="3" s="1"/>
  <c r="L14" i="7" s="1"/>
  <c r="L97" i="7"/>
  <c r="L85" i="7"/>
  <c r="L73" i="3" a="1"/>
  <c r="L73" i="3" s="1"/>
  <c r="L73" i="7" s="1"/>
  <c r="L61" i="7"/>
  <c r="L49" i="7"/>
  <c r="L37" i="3" a="1"/>
  <c r="L37" i="3" s="1"/>
  <c r="L37" i="7" s="1"/>
  <c r="L13" i="3" a="1"/>
  <c r="L13" i="3" s="1"/>
  <c r="L13" i="7" s="1"/>
  <c r="K98" i="7"/>
  <c r="K86" i="7"/>
  <c r="K74" i="7"/>
  <c r="K62" i="7"/>
  <c r="K38" i="3" a="1"/>
  <c r="K38" i="3" s="1"/>
  <c r="K38" i="7" s="1"/>
  <c r="K14" i="3" a="1"/>
  <c r="K14" i="3" s="1"/>
  <c r="K14" i="7" s="1"/>
  <c r="I88" i="7"/>
  <c r="I76" i="3" a="1"/>
  <c r="I76" i="3" s="1"/>
  <c r="I76" i="7" s="1"/>
  <c r="I40" i="7"/>
  <c r="I28" i="7"/>
  <c r="I16" i="7"/>
  <c r="I4" i="7"/>
  <c r="G90" i="7"/>
  <c r="G66" i="7"/>
  <c r="G54" i="7"/>
  <c r="G42" i="7"/>
  <c r="G30" i="3" a="1"/>
  <c r="G30" i="3" s="1"/>
  <c r="G30" i="7" s="1"/>
  <c r="G18" i="7"/>
  <c r="F91" i="7"/>
  <c r="F67" i="7"/>
  <c r="F55" i="7"/>
  <c r="F43" i="7"/>
  <c r="F31" i="3" a="1"/>
  <c r="F31" i="3" s="1"/>
  <c r="F31" i="7" s="1"/>
  <c r="F19" i="7"/>
  <c r="F7" i="7"/>
  <c r="E92" i="7"/>
  <c r="E68" i="3" a="1"/>
  <c r="E68" i="3" s="1"/>
  <c r="E68" i="7" s="1"/>
  <c r="E56" i="7"/>
  <c r="E44" i="7"/>
  <c r="E32" i="3" a="1"/>
  <c r="E32" i="3" s="1"/>
  <c r="E32" i="7" s="1"/>
  <c r="E20" i="7"/>
  <c r="E8" i="3" a="1"/>
  <c r="E8" i="3" s="1"/>
  <c r="E8" i="7" s="1"/>
  <c r="E2" i="7"/>
  <c r="L98" i="7"/>
  <c r="L74" i="7"/>
  <c r="L38" i="3" a="1"/>
  <c r="L38" i="3" s="1"/>
  <c r="L38" i="7" s="1"/>
  <c r="L96" i="7"/>
  <c r="L84" i="7"/>
  <c r="L72" i="7"/>
  <c r="L48" i="7"/>
  <c r="L36" i="3" a="1"/>
  <c r="L36" i="3" s="1"/>
  <c r="L36" i="7" s="1"/>
  <c r="L24" i="7"/>
  <c r="K97" i="7"/>
  <c r="K85" i="7"/>
  <c r="K73" i="3" a="1"/>
  <c r="K73" i="3" s="1"/>
  <c r="K73" i="7" s="1"/>
  <c r="K61" i="7"/>
  <c r="K49" i="7"/>
  <c r="K37" i="3" a="1"/>
  <c r="K37" i="3" s="1"/>
  <c r="K37" i="7" s="1"/>
  <c r="K25" i="7"/>
  <c r="I87" i="7"/>
  <c r="I75" i="7"/>
  <c r="I63" i="7"/>
  <c r="I51" i="7"/>
  <c r="I39" i="3" a="1"/>
  <c r="I39" i="3" s="1"/>
  <c r="I39" i="7" s="1"/>
  <c r="I27" i="7"/>
  <c r="I15" i="7"/>
  <c r="G89" i="7"/>
  <c r="G77" i="7"/>
  <c r="G53" i="7"/>
  <c r="G41" i="7"/>
  <c r="G29" i="3" a="1"/>
  <c r="G29" i="3" s="1"/>
  <c r="G29" i="7" s="1"/>
  <c r="F42" i="7"/>
  <c r="F30" i="3" a="1"/>
  <c r="F30" i="3" s="1"/>
  <c r="F30" i="7" s="1"/>
  <c r="E79" i="7"/>
  <c r="E67" i="7"/>
  <c r="E55" i="7"/>
  <c r="E43" i="7"/>
  <c r="E31" i="3" a="1"/>
  <c r="E31" i="3" s="1"/>
  <c r="E31" i="7" s="1"/>
  <c r="M100" i="1"/>
  <c r="L2" i="7"/>
  <c r="K2" i="7"/>
  <c r="D2" i="7"/>
  <c r="M33" i="7" l="1"/>
  <c r="M69" i="7"/>
  <c r="M79" i="7"/>
  <c r="M67" i="7"/>
  <c r="M22" i="7"/>
  <c r="M58" i="7"/>
  <c r="M85" i="7"/>
  <c r="M19" i="7"/>
  <c r="M31" i="7"/>
  <c r="M32" i="7"/>
  <c r="M28" i="7"/>
  <c r="M44" i="7"/>
  <c r="M82" i="7"/>
  <c r="M23" i="7"/>
  <c r="M12" i="7"/>
  <c r="M68" i="7"/>
  <c r="M9" i="7"/>
  <c r="M47" i="7"/>
  <c r="M24" i="7"/>
  <c r="M15" i="7"/>
  <c r="M35" i="7"/>
  <c r="M80" i="7"/>
  <c r="M59" i="7"/>
  <c r="M92" i="7"/>
  <c r="M81" i="7"/>
  <c r="M7" i="7"/>
  <c r="M45" i="7"/>
  <c r="M83" i="7"/>
  <c r="M34" i="7"/>
  <c r="M91" i="7"/>
  <c r="M10" i="7"/>
  <c r="M4" i="7"/>
  <c r="M21" i="7"/>
  <c r="M36" i="7"/>
  <c r="M37" i="7"/>
  <c r="M27" i="7"/>
  <c r="M16" i="7"/>
  <c r="M17" i="7"/>
  <c r="M6" i="7"/>
  <c r="M71" i="7"/>
  <c r="M48" i="7"/>
  <c r="M49" i="7"/>
  <c r="M14" i="7"/>
  <c r="M39" i="7"/>
  <c r="M29" i="7"/>
  <c r="M18" i="7"/>
  <c r="M60" i="7"/>
  <c r="M61" i="7"/>
  <c r="M51" i="7"/>
  <c r="M40" i="7"/>
  <c r="M41" i="7"/>
  <c r="M30" i="7"/>
  <c r="M25" i="7"/>
  <c r="M5" i="7"/>
  <c r="M26" i="7"/>
  <c r="M57" i="7"/>
  <c r="M95" i="7"/>
  <c r="M72" i="7"/>
  <c r="M73" i="7"/>
  <c r="M38" i="7"/>
  <c r="M63" i="7"/>
  <c r="M52" i="7"/>
  <c r="M53" i="7"/>
  <c r="M42" i="7"/>
  <c r="M84" i="7"/>
  <c r="M50" i="7"/>
  <c r="M75" i="7"/>
  <c r="M64" i="7"/>
  <c r="M65" i="7"/>
  <c r="M54" i="7"/>
  <c r="M96" i="7"/>
  <c r="M97" i="7"/>
  <c r="M62" i="7"/>
  <c r="M87" i="7"/>
  <c r="M76" i="7"/>
  <c r="M77" i="7"/>
  <c r="M66" i="7"/>
  <c r="M8" i="7"/>
  <c r="M93" i="7"/>
  <c r="M46" i="7"/>
  <c r="M74" i="7"/>
  <c r="M88" i="7"/>
  <c r="M89" i="7"/>
  <c r="M78" i="7"/>
  <c r="M86" i="7"/>
  <c r="M90" i="7"/>
  <c r="M20" i="7"/>
  <c r="M70" i="7"/>
  <c r="M11" i="7"/>
  <c r="M98" i="7"/>
  <c r="M99" i="7"/>
  <c r="M43" i="7"/>
  <c r="M55" i="7"/>
  <c r="M56" i="7"/>
  <c r="M94" i="7"/>
  <c r="M13" i="7"/>
  <c r="M3" i="7"/>
  <c r="M2" i="7"/>
  <c r="G100" i="7"/>
  <c r="H100" i="7"/>
  <c r="L100" i="7"/>
  <c r="F100" i="7"/>
  <c r="K100" i="7"/>
  <c r="J100" i="7"/>
  <c r="I100" i="7"/>
  <c r="E100" i="7"/>
  <c r="D100" i="7"/>
  <c r="M10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<sst xmlns="http://schemas.openxmlformats.org/spreadsheetml/2006/main" count="1060" uniqueCount="268">
  <si>
    <t>CalAIM Drug Medi-Cal ODS Outpatient Services Fiscal Impact Model</t>
  </si>
  <si>
    <t>Overview</t>
  </si>
  <si>
    <r>
      <t xml:space="preserve">The purpose of this fiscal impact model is to estimate the gross Medi-Cal billings for Drug Medi-Cal ODS Services. Counties input their hourly provider/practitioner rates and CPT/HCPC code units of service for each provider/practitioner type. CalMHSA has identified the primary CPT/HCPC codes that are applicable to most counties. These CPT/HCPC codes are identified by a "Yes" in the column titled "Frequently Used" in the Code Minutes tab. Counties may wish to use additional codes which can be found by selecting all rows in the "Frequently Used" column and/or modifying the "No" classification to a "Yes" in the Code Minutes tab. Counties should refer to the </t>
    </r>
    <r>
      <rPr>
        <i/>
        <sz val="11"/>
        <color theme="1"/>
        <rFont val="Calibri"/>
        <family val="2"/>
        <scheme val="minor"/>
      </rPr>
      <t>DHCS Medi-Cal Billing Manual</t>
    </r>
    <r>
      <rPr>
        <sz val="11"/>
        <color theme="1"/>
        <rFont val="Calibri"/>
        <family val="2"/>
        <scheme val="minor"/>
      </rPr>
      <t xml:space="preserve"> and/or the </t>
    </r>
    <r>
      <rPr>
        <i/>
        <sz val="11"/>
        <color theme="1"/>
        <rFont val="Calibri"/>
        <family val="2"/>
        <scheme val="minor"/>
      </rPr>
      <t>CalAIM Reference Guide for CPT Codes</t>
    </r>
    <r>
      <rPr>
        <sz val="11"/>
        <color theme="1"/>
        <rFont val="Calibri"/>
        <family val="2"/>
        <scheme val="minor"/>
      </rPr>
      <t xml:space="preserve"> for a description of the rules associated with the different CPT/HCPC codes.</t>
    </r>
  </si>
  <si>
    <t>Instructions</t>
  </si>
  <si>
    <t>Copy your draft FY23-24 provider/practitioner hourly rates into the Provider Rates tab. The hourly rates were developed by the State Department of Health Care Services and made available to counties via instructions provided in an email.</t>
  </si>
  <si>
    <t xml:space="preserve">Enter the units of service associated with each CPT/HCPC code and each provider/practitioner type in the "Units" tab. Counties should consider using historical units from their EHR based on direct patient care time.  </t>
  </si>
  <si>
    <t>The fiscal impact model calculates the gross Medi-Cal billings associated with the rates and units in the "revenue" tab, cell S141.</t>
  </si>
  <si>
    <t>Considerations</t>
  </si>
  <si>
    <t>Units must be whole numbers in CalAIM.</t>
  </si>
  <si>
    <t xml:space="preserve">The units associated with group services will most likely be calculated by having one unit associated with each participant in the group and adjusting the rate for the total number of group participants or an average number of group participants as determined by DHCS (currently proposed to be six). For ease in the model, counties can adjust the units to represent partial units based on the number of estimated group participants (or use the current proposed average of six). </t>
  </si>
  <si>
    <t>Different CPT codes have different minute values (they are not all 15 minutes, although many are 15-minute increments).</t>
  </si>
  <si>
    <t>The minutes associated with each CPT/HCPC code must relate to direct patient care time.</t>
  </si>
  <si>
    <t>Direct Patient Care: If the service code billed is a patient care code, direct patient care means time spent with the patient for the purpose of providing healthcare. If the service code billed is a medical consultation code, then direct patient care means time spent with the consultant/members of the beneficiary’s care team. Direct patient care does not include travel time, administrative activities, chart review, documentation, utilization review, quality assurance activities, or other activities a provider engages in either before or after a patient visit.</t>
  </si>
  <si>
    <t xml:space="preserve">Counties modeling with historic data and their EHR only has a single value for minutes/duration (travel and documentation time not segregated) they would need to estimate direct patient care time percentage and use that in their calculations. CalMHSA recommends the following direct patient care percentages if a county does not have its own estimates: psychiatrists-80% of historical minutes are direct patient care, mental health rehab specialists and peer recovery specialists-65% of historical minutes are direct patient care, all other providers/practitioner types-70% of historical minutes are direct patient care. </t>
  </si>
  <si>
    <t>A single historical HCPCS-coded service could map to more than one CPT-coded services.</t>
  </si>
  <si>
    <t>If a county cannot easily identify whether the client is new or existing, assume the client is existing.</t>
  </si>
  <si>
    <t>The estimated revenue reflects total gross Medi-Cal billings. Counties can estimate their anticipated federal and/or state revenue by excluding anticipated third party revenue and applying their estimated FMAP and SGF reimbursement percentages.</t>
  </si>
  <si>
    <t>Tab Descriptions</t>
  </si>
  <si>
    <t xml:space="preserve">Units-Counties enter the CPT/HCPC code units of service for each provider/practitioner type on this tab. </t>
  </si>
  <si>
    <t>Revenue-This tab calculates total gross Medi-Cal billings by multiplying the units by the code rates.</t>
  </si>
  <si>
    <t>Code Rates-This tab calculates the rate for each CPT/HCPC code and provider/practitioner type by multiplying the code minutes by the provider rates.</t>
  </si>
  <si>
    <t>Code Minutes-This tab shows the number of minutes used by DHCS each CPT/HCPC code. This tab also shows "Frequently Used" codes, which can be modified by the county.</t>
  </si>
  <si>
    <t>Provider Rates-Counties copy the provider/practitioner rates provided by DHCS into this tab. This tab calculates the per minute rate for each provider/practitioner type.</t>
  </si>
  <si>
    <t>Frequently Used</t>
  </si>
  <si>
    <t>Billing Code</t>
  </si>
  <si>
    <t>Code Description</t>
  </si>
  <si>
    <t>Physicians Assistant</t>
  </si>
  <si>
    <t>Nurse Practitioner</t>
  </si>
  <si>
    <t>RN</t>
  </si>
  <si>
    <t>Pharmacist</t>
  </si>
  <si>
    <t>MD (typically in SUD system of care)</t>
  </si>
  <si>
    <t>Psychologist/Pre-licensed Psychologist</t>
  </si>
  <si>
    <t>Alcohol and Drug Counselor</t>
  </si>
  <si>
    <t>Peer Recovery Specialist</t>
  </si>
  <si>
    <t>Total</t>
  </si>
  <si>
    <t>90785</t>
  </si>
  <si>
    <t>Interactive Complexity</t>
  </si>
  <si>
    <t>90791</t>
  </si>
  <si>
    <t>Psychiatric Diagnostic Evaluation, 15 Minutes</t>
  </si>
  <si>
    <t>90792</t>
  </si>
  <si>
    <t>Psychiatric Diagnostic Evaluation with Medical Services, 15 Minutes</t>
  </si>
  <si>
    <t>90846</t>
  </si>
  <si>
    <t>Family Psychotherapy (Without the Patient Present), 26-50 minutes</t>
  </si>
  <si>
    <t>90847</t>
  </si>
  <si>
    <t>Family Psychotherapy (Conjoint psychotherapy with Patient Present), 26-50 minutes</t>
  </si>
  <si>
    <t>90849</t>
  </si>
  <si>
    <t>Multiple-Family Group Psychotherapy, 15 Minutes</t>
  </si>
  <si>
    <t>90865</t>
  </si>
  <si>
    <t>Narcosynthesis for Psychiatric Diagnostic and Therapeutic Purposes, 15 Minutes</t>
  </si>
  <si>
    <t>90882</t>
  </si>
  <si>
    <t>Environmental intervention for medical management purposes on a psychiatric patient's behalf with agencies, employers, or institutions.</t>
  </si>
  <si>
    <t>90885</t>
  </si>
  <si>
    <t>Psychiatric Evaluation of Hospital Records, Other Psychiatric Reports, Psychometric and/or Projective Tests, and Other Accumulated Data for Medical Diagnostic Purposes, 15 Minutes</t>
  </si>
  <si>
    <t>90887</t>
  </si>
  <si>
    <t>Interpretation or Explanation of Results of Psychiatric or Other Medical Procedures to Family or Other Responsible Persons, 15 Minutes</t>
  </si>
  <si>
    <t>90889</t>
  </si>
  <si>
    <t>Preparation of report of patient’s psychiatric status, history, treatment, or progress (other than for legal or consultative purpose) for other individuals, agencies, or insurance carries.</t>
  </si>
  <si>
    <t>96130</t>
  </si>
  <si>
    <t>Psychological Testing Evaluation, First Hour</t>
  </si>
  <si>
    <t>96131</t>
  </si>
  <si>
    <t>Psychological Testing Evaluation, Each Additional Hour</t>
  </si>
  <si>
    <t>96160</t>
  </si>
  <si>
    <t>Administration of patient-focused health risk assessment instrument.</t>
  </si>
  <si>
    <t>96170</t>
  </si>
  <si>
    <t>Health behavior intervention, family (without the patient present), face-to-face. 16-30 minutes</t>
  </si>
  <si>
    <t>96171</t>
  </si>
  <si>
    <t>Health behavior intervention, family (without the patient present), face-to-face. Each additional 15 minutes.</t>
  </si>
  <si>
    <t>98966</t>
  </si>
  <si>
    <t>Telephone Assessment and Management Service, 5-10 Minutes</t>
  </si>
  <si>
    <t>98967</t>
  </si>
  <si>
    <t>Telephone Assessment and Management Service, 11-20 Minutes</t>
  </si>
  <si>
    <t>98968</t>
  </si>
  <si>
    <t>Telephone Assessment and Management Service, 21-30 Minutes</t>
  </si>
  <si>
    <t>99202</t>
  </si>
  <si>
    <t>Office or Other Outpatient Visit of New Patient, 15-29 Minutes</t>
  </si>
  <si>
    <t>99203</t>
  </si>
  <si>
    <t>Office or Other Outpatient Visit of a New patient, 30- 44 Minutes</t>
  </si>
  <si>
    <t>99204</t>
  </si>
  <si>
    <t>Office or Other Outpatient Visit of a New Patient, 45- 59 Minutes</t>
  </si>
  <si>
    <t>99205</t>
  </si>
  <si>
    <t>Office or Other Outpatient Visit of a New Patient, 60- 74 Minutes</t>
  </si>
  <si>
    <t>99212</t>
  </si>
  <si>
    <t>Office or Other Outpatient Visit of an Established Patient, 10-19 Minutes</t>
  </si>
  <si>
    <t>99213</t>
  </si>
  <si>
    <t>Office or Other Outpatient Visit of an Established Patient, 20-29 Minutes</t>
  </si>
  <si>
    <t>99214</t>
  </si>
  <si>
    <t>Office or Other Outpatient Visit of an Established Patient, 30-39 Minutes</t>
  </si>
  <si>
    <t>99215</t>
  </si>
  <si>
    <t>Office or Other Outpatient Visit of an Established Patient, 40-54 Minutes</t>
  </si>
  <si>
    <t>99217</t>
  </si>
  <si>
    <t>Observation Care Discharge Day Management, 15 Minutes</t>
  </si>
  <si>
    <t>99234</t>
  </si>
  <si>
    <t>Observation or Inpatient Hospital Care, Including Admission and Discharge on the Same Date, 35-44 Minutes</t>
  </si>
  <si>
    <t>99235</t>
  </si>
  <si>
    <t>Observation or Inpatient Hospital Care, Including Admission and Discharge on the Same Date, 45-53 minutes</t>
  </si>
  <si>
    <t>99236</t>
  </si>
  <si>
    <t>Observation or Inpatient Hospital Care, Including Admission and Discharge on the Same Date, 54-60 Minutes</t>
  </si>
  <si>
    <t>99304</t>
  </si>
  <si>
    <t>Initial Nursing Facility Care per Day, for the Evaluation and Management of a Patient. Usually, the Problem(s) requiring Admission are of Low Severity, 16- 29 Minutes</t>
  </si>
  <si>
    <t>99305</t>
  </si>
  <si>
    <t>Initial Nursing Facility Care per Day, for the Evaluation and Management of a Patient. Usually, the Problem(s) Requiring Admission are of Moderate Severity, 30-39 Minutes</t>
  </si>
  <si>
    <t>99306</t>
  </si>
  <si>
    <t>Initial Nursing Facility Care per Day, for the Evaluation and Management of a Patient. Usually, the Problem(s) Requiring Admission are of High Severity, 40- 60 Minutes</t>
  </si>
  <si>
    <t>99307</t>
  </si>
  <si>
    <t>Subsequent Nursing Facility Care per Day for the Evaluation and Management of a Patient. Usually, the Patient is Stable, Recovering or Improving, 1-12 Minutes</t>
  </si>
  <si>
    <t>99308</t>
  </si>
  <si>
    <t>Initial Nursing Facility Care per Day, for the Evaluation and Management of a Patient. Usually, the Patient is Responding Inadequately to Therapy or Has Developed a Minor Complication, 13- 19 Minutes</t>
  </si>
  <si>
    <t>99309</t>
  </si>
  <si>
    <t>Initial Nursing Facility Care per Day, for the Evaluation and Management of a Patient. Usually, the Patient has Developed a Significant Complication or a Significant New Problem, 20-29 Minutes</t>
  </si>
  <si>
    <t>99310</t>
  </si>
  <si>
    <t>Initial Nursing Facility Care per Day, for the Evaluation and Management of a Patient. The Patient May Be Unstable or May Have Developed a Significant New Problem Requiring Immediate Physician Attention, 30-40 Minutes</t>
  </si>
  <si>
    <t>99324</t>
  </si>
  <si>
    <t>Domiciliary or Rest Home Visit of a New Patient, 15-25 Minutes</t>
  </si>
  <si>
    <t>99325</t>
  </si>
  <si>
    <t>Domiciliary or Rest Home Visit of a New Patient, 26-35 Minutes</t>
  </si>
  <si>
    <t>99326</t>
  </si>
  <si>
    <t>Domiciliary or Rest Home Visit of a New Patient, 36-50 Minutes</t>
  </si>
  <si>
    <t>99327</t>
  </si>
  <si>
    <t>Domiciliary or Rest Home Visit of a New Patient, 51-65 Minutes</t>
  </si>
  <si>
    <t>99328</t>
  </si>
  <si>
    <t>Domiciliary or Rest Home Visit of a New Patient, 66-80 Minutes</t>
  </si>
  <si>
    <t>99334</t>
  </si>
  <si>
    <t>Domiciliary or Rest Home Visit of an Established Patient, 10-20 Minutes</t>
  </si>
  <si>
    <t>99335</t>
  </si>
  <si>
    <t>Domiciliary or Rest Home Visit of an Established Patient, 21-35 Minutes</t>
  </si>
  <si>
    <t>99336</t>
  </si>
  <si>
    <t>Domiciliary or Rest Home Visit of an Established Patient, 36-50 Minutes</t>
  </si>
  <si>
    <t>99337</t>
  </si>
  <si>
    <t>Domiciliary or Rest Home Visit of an Established Patient, 51-70 Minutes</t>
  </si>
  <si>
    <t>99339</t>
  </si>
  <si>
    <t>Individual physician supervisory of a patient (patient not present) in home, 15 – 29 minutes</t>
  </si>
  <si>
    <t>99340</t>
  </si>
  <si>
    <t>Individual physician supervisory of a patient (patient not present) in home. Each additional 30 minutes</t>
  </si>
  <si>
    <t>99341</t>
  </si>
  <si>
    <t>Home Visit of a New Patient, 15-25 Minutes</t>
  </si>
  <si>
    <t>99342</t>
  </si>
  <si>
    <t>Home Visit of a New Patient, 26-35 Minutes</t>
  </si>
  <si>
    <t>99343</t>
  </si>
  <si>
    <t>Home Visit of a New Patient, 36-50 Minutes</t>
  </si>
  <si>
    <t>99344</t>
  </si>
  <si>
    <t>Home Visit of a New Patient, 51-65 Minutes</t>
  </si>
  <si>
    <t>99345</t>
  </si>
  <si>
    <t>Home Visit of a New Patient, 66-80 Minutes</t>
  </si>
  <si>
    <t>99347</t>
  </si>
  <si>
    <t>Home Visit of an Established Patient, 10-20 Minutes</t>
  </si>
  <si>
    <t>99348</t>
  </si>
  <si>
    <t>Home Visit of an Established Patient, 21-35 Minutes</t>
  </si>
  <si>
    <t>99349</t>
  </si>
  <si>
    <t>Home Visit of an Established Patient, 36-50 Minutes</t>
  </si>
  <si>
    <t>99350</t>
  </si>
  <si>
    <t>Home Visit of an Established Patient, 51-70 Minutes</t>
  </si>
  <si>
    <t>99367</t>
  </si>
  <si>
    <t>Medical Team Conference with Interdisciplinary Team of Health Care Professionals, Participation by Physician. Patient and/or Family not Present. 30 Minutes or More</t>
  </si>
  <si>
    <t>99368</t>
  </si>
  <si>
    <t>Medical Team Conference with Interdisciplinary Team of Health Care Professionals, Participation by Non- Physician. Patient and/or Family Not Present. 30 Minutes or More</t>
  </si>
  <si>
    <t>99408</t>
  </si>
  <si>
    <t>Alcohol and/or substance (other than tobacco) abuse structural screening (e.g., AUDIT, DAST), and brief intervention (SBI) services. 15-30 minutes.</t>
  </si>
  <si>
    <t>99409</t>
  </si>
  <si>
    <t>Alcohol and/or substance (other than tobacco) abuse structural screening (e.g., AUDIT, DAST), and brief intervention (SBI) services. Greater than 30 minutes.</t>
  </si>
  <si>
    <t>99441</t>
  </si>
  <si>
    <t>Telephone Evaluation and Management Service, 5-10 Minutes</t>
  </si>
  <si>
    <t>99442</t>
  </si>
  <si>
    <t>Telephone Evaluation and Management Service, 11-20 Minutes</t>
  </si>
  <si>
    <t>99443</t>
  </si>
  <si>
    <t>Telephone Evaluation and Management Service, 21-30 Minutes</t>
  </si>
  <si>
    <t>99451</t>
  </si>
  <si>
    <t>Inter-Professional Telephone/Internet/ Electronic Health Record Assessment Provided by a Consultative Physician, 5-15 Minutes</t>
  </si>
  <si>
    <t>99495</t>
  </si>
  <si>
    <t>Transitional Care Management Services: Communication (direct contact, telephone, electronic) within 14 calendar days.</t>
  </si>
  <si>
    <t>99496</t>
  </si>
  <si>
    <t>Transitional Care Management Services: Communication (direct contact, telephone, electronic) within 7 calendar days.</t>
  </si>
  <si>
    <t>G0396</t>
  </si>
  <si>
    <t>Alcohol and/or substance (other than tobacco) abuse structured assessment. 15-30 Minutes. (Note: Use codes G2011, G0396, and G0397 to determine the ASAM Criteria).</t>
  </si>
  <si>
    <t>G0397</t>
  </si>
  <si>
    <t>Alcohol and/or substance (other than tobacco) abuse structured assessment. 30+ Minutes. (Note: use codes G2011, G0396, and G0397 to determine the ASAM Criteria).</t>
  </si>
  <si>
    <t>G2011</t>
  </si>
  <si>
    <t>Alcohol and/or substance (other than tobacco) abuse structured assessment 5 -14 Min. (Note: Use codes G2011, G0396, and G0397 to determine the ASAM Criteria).</t>
  </si>
  <si>
    <t>G2212</t>
  </si>
  <si>
    <t>Prolonged Office or Other Outpatient Evaluation and Management Service(s) beyond the Maximum Time; Each Additional 15 Minutes</t>
  </si>
  <si>
    <t>H0001</t>
  </si>
  <si>
    <t>Alcohol and/or drug assessment. (Note: Use this code for screening to determine the appropriate delivery system for beneficiaries seeking services)</t>
  </si>
  <si>
    <t>H0003</t>
  </si>
  <si>
    <t>Alcohol and/or drug screening. Laboratory analysis</t>
  </si>
  <si>
    <t>H0004</t>
  </si>
  <si>
    <t>Behavioral health counseling and therapy, 15 minutes.</t>
  </si>
  <si>
    <t>H0005</t>
  </si>
  <si>
    <t>Alcohol and/or drug services; group counseling by a clinician, 15 minutes.</t>
  </si>
  <si>
    <t>H0007</t>
  </si>
  <si>
    <t>Alcohol and/or drug services; crisis intervention (outpatient),</t>
  </si>
  <si>
    <t>H0008</t>
  </si>
  <si>
    <t>Alcohol and/or drug services: (hospital inpatient) Subacute detoxification</t>
  </si>
  <si>
    <t>H0009</t>
  </si>
  <si>
    <t>Alcohol and/or drug services: (hospital inpatient) Acute detoxification</t>
  </si>
  <si>
    <t>H0025</t>
  </si>
  <si>
    <t>Behavioral health prevention education service (delivery of services with target population to affect knowledge, attitude and/or behavior)</t>
  </si>
  <si>
    <t>H0033</t>
  </si>
  <si>
    <t>Oral Medication Administration, Direct Observation, 15 Minutes</t>
  </si>
  <si>
    <t>H0034</t>
  </si>
  <si>
    <t>Medication Training and Support, per 15 Minutes</t>
  </si>
  <si>
    <t>H0038</t>
  </si>
  <si>
    <t>Self-help/peer services, per 15 minutes</t>
  </si>
  <si>
    <t>H0048</t>
  </si>
  <si>
    <t>Alcohol and/or other drug testing.</t>
  </si>
  <si>
    <t>H0049</t>
  </si>
  <si>
    <t>Alcohol and/or drug screening</t>
  </si>
  <si>
    <t>H0050</t>
  </si>
  <si>
    <t>Alcohol and/or Drug Services, brief intervention, 15 minutes (Code must be used to submit claims for Contingency Management Services)</t>
  </si>
  <si>
    <t>H1000</t>
  </si>
  <si>
    <t>Prenatal Care, at risk assessment.</t>
  </si>
  <si>
    <t>H2011</t>
  </si>
  <si>
    <t>Crisis Intervention Service, per 15 Minutes</t>
  </si>
  <si>
    <t>H2014</t>
  </si>
  <si>
    <t>Skills training and development, per 15 minutes. (Use this code to submit claims for Patient Education Services).</t>
  </si>
  <si>
    <t>H2015</t>
  </si>
  <si>
    <t>Comprehensive community support services, per 15 minutes</t>
  </si>
  <si>
    <t>H2017</t>
  </si>
  <si>
    <t>Psychosocial Rehabilitation, per 15 Minutes</t>
  </si>
  <si>
    <t>H2021</t>
  </si>
  <si>
    <t>Community-Based Wrap-Around Services, per 15 Minutes</t>
  </si>
  <si>
    <t>H2027</t>
  </si>
  <si>
    <t>Psychoeducational Service, per 15 minutes</t>
  </si>
  <si>
    <t>H2035</t>
  </si>
  <si>
    <t>Alcohol and/or other drug treatment program, Per Hour Except with modifiers 59, XE, XP, or XU. Modifiers have to be on the target or excluded service.</t>
  </si>
  <si>
    <t>T1006</t>
  </si>
  <si>
    <t>Alcohol and/or substance abuse services, family/couple counseling</t>
  </si>
  <si>
    <t>T1007</t>
  </si>
  <si>
    <t>Alcohol and/or substance abuse services, treatment plan development and/or modification.</t>
  </si>
  <si>
    <t>T1013</t>
  </si>
  <si>
    <t>Sign Language or Oral Interpretive Services, 15 Minutes</t>
  </si>
  <si>
    <t>T1017</t>
  </si>
  <si>
    <t>Targeted Case Management, Each 15 Minutes</t>
  </si>
  <si>
    <t>Code</t>
  </si>
  <si>
    <t>Description</t>
  </si>
  <si>
    <t>Minutes</t>
  </si>
  <si>
    <t>Yes</t>
  </si>
  <si>
    <t>15</t>
  </si>
  <si>
    <t>50</t>
  </si>
  <si>
    <t>No</t>
  </si>
  <si>
    <t>60</t>
  </si>
  <si>
    <t>30</t>
  </si>
  <si>
    <t>8</t>
  </si>
  <si>
    <t>16</t>
  </si>
  <si>
    <t>26</t>
  </si>
  <si>
    <t>22</t>
  </si>
  <si>
    <t>37</t>
  </si>
  <si>
    <t>52</t>
  </si>
  <si>
    <t>67</t>
  </si>
  <si>
    <t>25</t>
  </si>
  <si>
    <t>35</t>
  </si>
  <si>
    <t>47</t>
  </si>
  <si>
    <t>40</t>
  </si>
  <si>
    <t>49</t>
  </si>
  <si>
    <t>57</t>
  </si>
  <si>
    <t>23</t>
  </si>
  <si>
    <t>7</t>
  </si>
  <si>
    <t>20</t>
  </si>
  <si>
    <t>31</t>
  </si>
  <si>
    <t>43</t>
  </si>
  <si>
    <t>58</t>
  </si>
  <si>
    <t>73</t>
  </si>
  <si>
    <t>28</t>
  </si>
  <si>
    <t>61</t>
  </si>
  <si>
    <t>10</t>
  </si>
  <si>
    <t>Provider Type</t>
  </si>
  <si>
    <t>Rate Per Hour</t>
  </si>
  <si>
    <t>Rate Per Minute</t>
  </si>
  <si>
    <t>LPHA (MFT  LCSW  LPCC)/ Intern or Waivered LPHA (MFT  LCSW  LPCC)</t>
  </si>
  <si>
    <t>Last updated: 11/17/2022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</si>
</sst>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6" x14ac:knownFonts="1">
    <font>
      <sz val="11"/>
      <color theme="1"/>
      <name val="Calibri"/>
      <family val="2"/>
      <scheme val="minor"/>
    </font>
    <font>
      <sz val="11"/>
      <color rgb="FF006100"/>
      <name val="Calibri"/>
      <family val="2"/>
      <scheme val="minor"/>
    </font>
    <font>
      <sz val="8"/>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s>
  <fills count="3">
    <fill>
      <patternFill patternType="none"/>
    </fill>
    <fill>
      <patternFill patternType="gray125"/>
    </fill>
    <fill>
      <patternFill patternType="solid">
        <fgColor rgb="FFC6EFCE"/>
        <bgColor indexed="64"/>
      </patternFill>
    </fill>
  </fills>
  <borders count="1">
    <border>
      <left/>
      <right/>
      <top/>
      <bottom/>
      <diagonal/>
    </border>
  </borders>
  <cellStyleXfs count="1">
    <xf numFmtId="0" fontId="0" fillId="0" borderId="0"/>
  </cellStyleXfs>
  <cellXfs count="16">
    <xf numFmtId="0" fontId="0" fillId="0" borderId="0" xfId="0"/>
    <xf numFmtId="0" fontId="0" fillId="0" borderId="0" xfId="0" applyAlignment="1">
      <alignment horizontal="center" vertical="center" wrapText="1"/>
    </xf>
    <xf numFmtId="1" fontId="0" fillId="0" borderId="0" xfId="0" applyNumberFormat="1" applyAlignment="1">
      <alignment horizontal="center"/>
    </xf>
    <xf numFmtId="0" fontId="0" fillId="0" borderId="0" xfId="0" applyAlignment="1">
      <alignment horizontal="center"/>
    </xf>
    <xf numFmtId="164" fontId="0" fillId="0" borderId="0" xfId="0" applyNumberFormat="1"/>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horizontal="left" vertical="top"/>
    </xf>
    <xf numFmtId="0" fontId="0" fillId="0" borderId="0" xfId="0" applyAlignment="1">
      <alignment vertical="top"/>
    </xf>
    <xf numFmtId="0" fontId="0" fillId="0" borderId="0" xfId="0" applyAlignment="1">
      <alignment wrapText="1"/>
    </xf>
    <xf numFmtId="0" fontId="5" fillId="0" borderId="0" xfId="0" applyFont="1"/>
    <xf numFmtId="0" fontId="3" fillId="0" borderId="0" xfId="0" applyFont="1"/>
    <xf numFmtId="0" fontId="0" fillId="0" borderId="0" xfId="0" applyAlignment="1">
      <alignment horizontal="right"/>
    </xf>
    <xf numFmtId="164" fontId="1" fillId="2" borderId="0" xfId="0" applyNumberFormat="1" applyFont="1" applyFill="1" applyAlignment="1">
      <alignment horizontal="center"/>
    </xf>
    <xf numFmtId="0" fontId="3" fillId="0" borderId="0" xfId="0" applyFont="1" applyAlignment="1">
      <alignment horizontal="center"/>
    </xf>
    <xf numFmtId="0" fontId="0" fillId="0" borderId="0" xfId="0" applyAlignment="1">
      <alignment horizontal="left" wrapText="1"/>
    </xf>
  </cellXfs>
  <cellStyles count="1">
    <cellStyle name="Normal" xfId="0" builtinId="0"/>
  </cellStyles>
  <dxfs count="70">
    <dxf>
      <numFmt numFmtId="164" formatCode="&quot;$&quot;#,##0.0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left" vertical="top"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6100"/>
        <name val="Calibri"/>
        <family val="2"/>
        <scheme val="minor"/>
      </font>
      <numFmt numFmtId="164" formatCode="&quot;$&quot;#,##0.00"/>
      <fill>
        <patternFill patternType="solid">
          <fgColor indexed="64"/>
          <bgColor rgb="FFC6EFCE"/>
        </patternFill>
      </fill>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center" textRotation="0" wrapText="1"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D9185D-6B3A-43CE-9080-5861BE25AA2C}" name="UnitsTable" displayName="UnitsTable" ref="A1:M100" totalsRowCount="1" headerRowDxfId="69">
  <autoFilter ref="A1:M99" xr:uid="{71D9185D-6B3A-43CE-9080-5861BE25AA2C}">
    <filterColumn colId="0">
      <filters>
        <filter val="Yes"/>
      </filters>
    </filterColumn>
  </autoFilter>
  <tableColumns count="13">
    <tableColumn id="19" xr3:uid="{D9DFE732-4926-4507-A519-9CC24516D11C}" name="Frequently Used" dataDxfId="68" totalsRowDxfId="67">
      <calculatedColumnFormula>INDEX(CodeMinutesTable[Frequently Used],MATCH(UnitsTable[[#This Row],[Billing Code]],CodeMinutesTable[Code],0))</calculatedColumnFormula>
    </tableColumn>
    <tableColumn id="1" xr3:uid="{AAE62E8F-0D8F-4CB5-945A-FEB6B4C6567C}" name="Billing Code" totalsRowLabel="Total" dataDxfId="66" totalsRowDxfId="65"/>
    <tableColumn id="2" xr3:uid="{8B36B1AF-44A1-47C9-BAE5-78C91101C391}" name="Code Description"/>
    <tableColumn id="3" xr3:uid="{35014B01-85AE-4AE0-9F20-809B3FAD4A07}" name="Physicians Assistant" totalsRowFunction="sum" dataDxfId="64" totalsRowDxfId="63"/>
    <tableColumn id="4" xr3:uid="{2AF1BFB4-A39D-40A9-96BB-5D5A277942F1}" name="Nurse Practitioner" totalsRowFunction="sum" dataDxfId="62" totalsRowDxfId="61"/>
    <tableColumn id="5" xr3:uid="{3F6D94B7-1D9F-40CE-BCF6-60CE4A71EA47}" name="RN" totalsRowFunction="sum" dataDxfId="60" totalsRowDxfId="59"/>
    <tableColumn id="6" xr3:uid="{FC708DE6-D9FE-4BFD-B6BB-2DDF7EE3D2C3}" name="Pharmacist" totalsRowFunction="sum" dataDxfId="58" totalsRowDxfId="57"/>
    <tableColumn id="7" xr3:uid="{F4A017AE-E998-4D63-8EA5-319C0475CF18}" name="MD (typically in SUD system of care)" totalsRowFunction="sum" dataDxfId="56" totalsRowDxfId="55"/>
    <tableColumn id="8" xr3:uid="{28AA40CD-9C6B-46E6-A410-CCEC0550FB03}" name="Psychologist/Pre-licensed Psychologist" totalsRowFunction="sum" dataDxfId="54" totalsRowDxfId="53"/>
    <tableColumn id="9" xr3:uid="{69393872-5D5D-430B-BA1B-0F324BB2A014}" name="LPHA (MFT  LCSW  LPCC)/ Intern or Waivered LPHA (MFT  LCSW  LPCC)" totalsRowFunction="sum" dataDxfId="52" totalsRowDxfId="51"/>
    <tableColumn id="10" xr3:uid="{FE63A105-E72A-45E5-A774-1089A8449494}" name="Alcohol and Drug Counselor" totalsRowFunction="sum" dataDxfId="50" totalsRowDxfId="49"/>
    <tableColumn id="11" xr3:uid="{EA7FA90D-1A06-468C-AF42-458912C1358B}" name="Peer Recovery Specialist" totalsRowFunction="sum" dataDxfId="48" totalsRowDxfId="47"/>
    <tableColumn id="18" xr3:uid="{BACE842F-7D2A-4B07-BB0F-2B6315005A06}" name="Total" totalsRowFunction="sum" dataDxfId="46" totalsRowDxfId="45">
      <calculatedColumnFormula>SUM(UnitsTable[[#This Row],[Physicians Assistant]:[Peer Recovery Specialist]])</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8FC294-5ABC-4E86-8460-B35FE846F239}" name="RevenueTable" displayName="RevenueTable" ref="A1:M100" totalsRowCount="1" headerRowDxfId="44">
  <autoFilter ref="A1:M99" xr:uid="{71D9185D-6B3A-43CE-9080-5861BE25AA2C}">
    <filterColumn colId="0">
      <filters>
        <filter val="Yes"/>
      </filters>
    </filterColumn>
  </autoFilter>
  <tableColumns count="13">
    <tableColumn id="19" xr3:uid="{C1F75836-820F-488D-BC2D-81524FDF9BE7}" name="Frequently Used" dataDxfId="43" totalsRowDxfId="42">
      <calculatedColumnFormula>INDEX(CodeMinutesTable[Frequently Used],MATCH(RevenueTable[[#This Row],[Billing Code]],CodeMinutesTable[Code],0))</calculatedColumnFormula>
    </tableColumn>
    <tableColumn id="1" xr3:uid="{31321CC5-EAEC-4CCA-9349-9846707EBF30}" name="Billing Code" totalsRowLabel="Total" dataDxfId="41" totalsRowDxfId="40"/>
    <tableColumn id="2" xr3:uid="{129F3513-C63F-4164-A3D1-3D13543F64A4}" name="Code Description"/>
    <tableColumn id="3" xr3:uid="{64A9784E-F3BF-4411-805D-4EB6E3B94ACF}" name="Physicians Assistant" totalsRowFunction="sum" dataDxfId="39" totalsRowDxfId="38">
      <calculatedColumnFormula>UnitsTable[[#This Row],[Physicians Assistant]]*CodeRatesTable[[#This Row],[Physicians Assistant]]</calculatedColumnFormula>
    </tableColumn>
    <tableColumn id="4" xr3:uid="{5254E5C8-4C31-43CA-8B58-51AD602DF5FA}" name="Nurse Practitioner" totalsRowFunction="sum" dataDxfId="37" totalsRowDxfId="36">
      <calculatedColumnFormula>UnitsTable[[#This Row],[Nurse Practitioner]]*CodeRatesTable[[#This Row],[Nurse Practitioner]]</calculatedColumnFormula>
    </tableColumn>
    <tableColumn id="5" xr3:uid="{8D70CAE7-21C4-49DA-B273-385B706774B9}" name="RN" totalsRowFunction="sum" dataDxfId="35" totalsRowDxfId="34">
      <calculatedColumnFormula>UnitsTable[[#This Row],[RN]]*CodeRatesTable[[#This Row],[RN]]</calculatedColumnFormula>
    </tableColumn>
    <tableColumn id="6" xr3:uid="{8522F448-0AAE-4D45-A77C-87F18934A151}" name="Pharmacist" totalsRowFunction="sum" dataDxfId="33" totalsRowDxfId="32">
      <calculatedColumnFormula>UnitsTable[[#This Row],[Pharmacist]]*CodeRatesTable[[#This Row],[Pharmacist]]</calculatedColumnFormula>
    </tableColumn>
    <tableColumn id="7" xr3:uid="{77E2D6E4-3DCC-4865-813C-92A45ACD9C2F}" name="MD (typically in SUD system of care)" totalsRowFunction="sum" dataDxfId="31" totalsRowDxfId="30">
      <calculatedColumnFormula>UnitsTable[[#This Row],[MD (typically in SUD system of care)]]*CodeRatesTable[[#This Row],[MD (typically in SUD system of care)]]</calculatedColumnFormula>
    </tableColumn>
    <tableColumn id="8" xr3:uid="{9F894D0B-9257-4E75-AACF-3BDC82111828}" name="Psychologist/Pre-licensed Psychologist" totalsRowFunction="sum" dataDxfId="29" totalsRowDxfId="28">
      <calculatedColumnFormula>UnitsTable[[#This Row],[Psychologist/Pre-licensed Psychologist]]*CodeRatesTable[[#This Row],[Psychologist/Pre-licensed Psychologist]]</calculatedColumnFormula>
    </tableColumn>
    <tableColumn id="9" xr3:uid="{458C8BF9-E5B1-46CF-BD27-8E23BF1F2494}" name="LPHA (MFT  LCSW  LPCC)/ Intern or Waivered LPHA (MFT  LCSW  LPCC)" totalsRowFunction="sum" dataDxfId="27" totalsRowDxfId="26">
      <calculatedColumnFormula>UnitsTable[[#This Row],[LPHA (MFT  LCSW  LPCC)/ Intern or Waivered LPHA (MFT  LCSW  LPCC)]]*CodeRatesTable[[#This Row],[LPHA (MFT  LCSW  LPCC)/ Intern or Waivered LPHA (MFT  LCSW  LPCC)]]</calculatedColumnFormula>
    </tableColumn>
    <tableColumn id="10" xr3:uid="{A2B64CCC-240B-4BEE-99BC-72A2361FA724}" name="Alcohol and Drug Counselor" totalsRowFunction="sum" dataDxfId="25" totalsRowDxfId="24">
      <calculatedColumnFormula>UnitsTable[[#This Row],[Alcohol and Drug Counselor]]*CodeRatesTable[[#This Row],[Alcohol and Drug Counselor]]</calculatedColumnFormula>
    </tableColumn>
    <tableColumn id="11" xr3:uid="{FF8FEDBE-FD94-4C32-99EC-C571654882B8}" name="Peer Recovery Specialist" totalsRowFunction="sum" dataDxfId="23" totalsRowDxfId="22">
      <calculatedColumnFormula>UnitsTable[[#This Row],[Peer Recovery Specialist]]*CodeRatesTable[[#This Row],[Peer Recovery Specialist]]</calculatedColumnFormula>
    </tableColumn>
    <tableColumn id="18" xr3:uid="{AB0E3BBE-2C91-4B72-82C0-09E52D5E80D5}" name="Total" totalsRowFunction="sum" dataDxfId="21" totalsRowDxfId="20">
      <calculatedColumnFormula>SUM(RevenueTable[[#This Row],[Physicians Assistant]:[Peer Recovery Specialist]])</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2875101-3B39-41DA-A809-E9EFA873CAC8}" name="CodeRatesTable" displayName="CodeRatesTable" ref="A1:L99" totalsRowShown="0" headerRowDxfId="19">
  <autoFilter ref="A1:L99" xr:uid="{71D9185D-6B3A-43CE-9080-5861BE25AA2C}">
    <filterColumn colId="0">
      <filters>
        <filter val="Yes"/>
      </filters>
    </filterColumn>
  </autoFilter>
  <tableColumns count="12">
    <tableColumn id="18" xr3:uid="{6B99E6EC-33B4-4D07-A27A-C60ECCDD6A99}" name="Frequently Used" dataDxfId="18">
      <calculatedColumnFormula>INDEX(CodeMinutesTable[Frequently Used],MATCH(CodeRatesTable[[#This Row],[Billing Code]],CodeMinutesTable[Code],0))</calculatedColumnFormula>
    </tableColumn>
    <tableColumn id="1" xr3:uid="{9D658AA1-D915-48F2-8235-C834074305B3}" name="Billing Code" dataDxfId="17"/>
    <tableColumn id="2" xr3:uid="{8A247486-FBBE-4500-8110-3DD647E2C72B}" name="Code Description"/>
    <tableColumn id="3" xr3:uid="{3A1438BE-BD73-4C8D-A2CB-A9723810C558}" name="Physicians Assistant" dataDxfId="16">
      <calculatedColumnFormula>VLOOKUP($B2, CodeMinutesTable[[Code]:[Minutes]], 3, FALSE) * VLOOKUP(D$1, ProviderRatesTable[], 3, FALSE)</calculatedColumnFormula>
    </tableColumn>
    <tableColumn id="4" xr3:uid="{5DCDA4F7-36A8-41F9-92B4-120D6889E8F4}" name="Nurse Practitioner" dataDxfId="15">
      <calculatedColumnFormula array="1">_xlfn.XLOOKUP($B2,CodeMinutesTable[[Code]:[Code]],CodeMinutesTable[[Minutes]:[Minutes]]) *_xlfn.XLOOKUP(E$1,'Provider Rates'!$A$2:$A$10,'Provider Rates'!$C$2:$C$10)</calculatedColumnFormula>
    </tableColumn>
    <tableColumn id="5" xr3:uid="{4DDE3DC9-3B34-42DE-823F-E77D4CD44880}" name="RN" dataDxfId="14">
      <calculatedColumnFormula array="1">_xlfn.XLOOKUP($B2,CodeMinutesTable[[Code]:[Code]],CodeMinutesTable[[Minutes]:[Minutes]]) *_xlfn.XLOOKUP(F$1,'Provider Rates'!$A$2:$A$10,'Provider Rates'!$C$2:$C$10)</calculatedColumnFormula>
    </tableColumn>
    <tableColumn id="6" xr3:uid="{08212880-B85F-4D3E-B627-3CBFA51430B6}" name="Pharmacist" dataDxfId="13">
      <calculatedColumnFormula array="1">_xlfn.XLOOKUP($B2,CodeMinutesTable[[Code]:[Code]],CodeMinutesTable[[Minutes]:[Minutes]]) *_xlfn.XLOOKUP(G$1,'Provider Rates'!$A$2:$A$10,'Provider Rates'!$C$2:$C$10)</calculatedColumnFormula>
    </tableColumn>
    <tableColumn id="7" xr3:uid="{2B861D91-E226-4055-9A46-695F4A7D0E39}" name="MD (typically in SUD system of care)" dataDxfId="12">
      <calculatedColumnFormula array="1">_xlfn.XLOOKUP($B2,CodeMinutesTable[[Code]:[Code]],CodeMinutesTable[[Minutes]:[Minutes]]) *_xlfn.XLOOKUP(H$1,'Provider Rates'!$A$2:$A$10,'Provider Rates'!$C$2:$C$10)</calculatedColumnFormula>
    </tableColumn>
    <tableColumn id="8" xr3:uid="{982B2BAA-51FA-4095-86C8-60AF93D3B4D5}" name="Psychologist/Pre-licensed Psychologist" dataDxfId="11">
      <calculatedColumnFormula array="1">_xlfn.XLOOKUP($B2,CodeMinutesTable[[Code]:[Code]],CodeMinutesTable[[Minutes]:[Minutes]]) *_xlfn.XLOOKUP(I$1,'Provider Rates'!$A$2:$A$10,'Provider Rates'!$C$2:$C$10)</calculatedColumnFormula>
    </tableColumn>
    <tableColumn id="9" xr3:uid="{BB36288F-7338-4D5C-AFB0-7271931B5BB7}" name="LPHA (MFT  LCSW  LPCC)/ Intern or Waivered LPHA (MFT  LCSW  LPCC)" dataDxfId="10">
      <calculatedColumnFormula array="1">_xlfn.XLOOKUP($B2,CodeMinutesTable[[Code]:[Code]],CodeMinutesTable[[Minutes]:[Minutes]]) *_xlfn.XLOOKUP(J$1,'Provider Rates'!$A$2:$A$10,'Provider Rates'!$C$2:$C$10)</calculatedColumnFormula>
    </tableColumn>
    <tableColumn id="10" xr3:uid="{3EF5F530-478F-4FF0-B4A3-1C656506E53B}" name="Alcohol and Drug Counselor" dataDxfId="9">
      <calculatedColumnFormula array="1">_xlfn.XLOOKUP($B2,CodeMinutesTable[[Code]:[Code]],CodeMinutesTable[[Minutes]:[Minutes]]) *_xlfn.XLOOKUP(K$1,'Provider Rates'!$A$2:$A$10,'Provider Rates'!$C$2:$C$10)</calculatedColumnFormula>
    </tableColumn>
    <tableColumn id="11" xr3:uid="{DDDDFA2E-F0DD-4D2D-8D14-A99E23AA2CE1}" name="Peer Recovery Specialist" dataDxfId="8">
      <calculatedColumnFormula array="1">_xlfn.XLOOKUP($B2,CodeMinutesTable[[Code]:[Code]],CodeMinutesTable[[Minutes]:[Minutes]]) *_xlfn.XLOOKUP(L$1,'Provider Rates'!$A$2:$A$10,'Provider Rates'!$C$2:$C$10)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6257FB-CB92-411A-AAA2-321714CA1F36}" name="CodeMinutesTable" displayName="CodeMinutesTable" ref="A1:D99" totalsRowShown="0" headerRowDxfId="7" dataDxfId="6">
  <autoFilter ref="A1:D99" xr:uid="{696257FB-CB92-411A-AAA2-321714CA1F36}"/>
  <tableColumns count="4">
    <tableColumn id="3" xr3:uid="{82EFECAB-F24F-4BDB-A753-48BAC145CCC5}" name="Frequently Used" dataDxfId="5"/>
    <tableColumn id="1" xr3:uid="{BC752074-395A-45CE-9F03-EE014B6501B6}" name="Code" dataDxfId="4"/>
    <tableColumn id="4" xr3:uid="{8C683A9F-058D-4F6D-9139-655B13870893}" name="Description" dataDxfId="3"/>
    <tableColumn id="2" xr3:uid="{911B6687-5DCF-44D0-B8A6-3D9BF06062F0}" name="Minutes" dataDxfId="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575B94-A690-416C-B8CE-7087AF24435D}" name="ProviderRatesTable" displayName="ProviderRatesTable" ref="A1:C10" totalsRowShown="0" headerRowDxfId="1">
  <autoFilter ref="A1:C10" xr:uid="{DF575B94-A690-416C-B8CE-7087AF24435D}"/>
  <tableColumns count="3">
    <tableColumn id="1" xr3:uid="{C2D3E0BF-C44B-40CF-B31A-86F0F7294D95}" name="Provider Type"/>
    <tableColumn id="2" xr3:uid="{C4FD6AD7-FBF3-4041-80A1-65FE6A762AEB}" name="Rate Per Hour"/>
    <tableColumn id="3" xr3:uid="{BB005A54-F0C2-4AD7-B709-35C5D296DE95}" name="Rate Per Minute" dataDxfId="0">
      <calculatedColumnFormula>B2/60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5C71-DE25-49B8-B5C8-073BE80C4A1F}">
  <dimension ref="A1:C27"/>
  <sheetViews>
    <sheetView tabSelected="1" workbookViewId="0">
      <selection activeCell="C2" sqref="C2"/>
    </sheetView>
  </sheetViews>
  <sheetFormatPr defaultColWidth="9.140625" defaultRowHeight="15" x14ac:dyDescent="0.25"/>
  <cols>
    <col min="1" max="2" width="3.7109375" customWidth="1"/>
    <col min="3" max="3" width="149.5703125" customWidth="1"/>
  </cols>
  <sheetData>
    <row r="1" spans="1:3" x14ac:dyDescent="0.25">
      <c r="A1" s="14" t="s">
        <v>0</v>
      </c>
      <c r="B1" s="14"/>
      <c r="C1" s="14"/>
    </row>
    <row r="2" spans="1:3" x14ac:dyDescent="0.25">
      <c r="C2" s="12" t="s">
        <v>267</v>
      </c>
    </row>
    <row r="3" spans="1:3" s="11" customFormat="1" x14ac:dyDescent="0.25">
      <c r="A3" s="10" t="s">
        <v>1</v>
      </c>
    </row>
    <row r="4" spans="1:3" ht="75" customHeight="1" x14ac:dyDescent="0.25">
      <c r="B4" s="15" t="s">
        <v>2</v>
      </c>
      <c r="C4" s="15"/>
    </row>
    <row r="6" spans="1:3" s="11" customFormat="1" x14ac:dyDescent="0.25">
      <c r="A6" s="10" t="s">
        <v>3</v>
      </c>
    </row>
    <row r="7" spans="1:3" ht="30" customHeight="1" x14ac:dyDescent="0.25">
      <c r="A7" s="8">
        <v>1</v>
      </c>
      <c r="B7" s="15" t="s">
        <v>4</v>
      </c>
      <c r="C7" s="15"/>
    </row>
    <row r="8" spans="1:3" ht="30" customHeight="1" x14ac:dyDescent="0.25">
      <c r="A8" s="8">
        <v>2</v>
      </c>
      <c r="B8" s="15" t="s">
        <v>5</v>
      </c>
      <c r="C8" s="15"/>
    </row>
    <row r="9" spans="1:3" x14ac:dyDescent="0.25">
      <c r="A9" s="8">
        <v>3</v>
      </c>
      <c r="B9" t="s">
        <v>6</v>
      </c>
    </row>
    <row r="11" spans="1:3" s="11" customFormat="1" x14ac:dyDescent="0.25">
      <c r="A11" s="10" t="s">
        <v>7</v>
      </c>
    </row>
    <row r="12" spans="1:3" x14ac:dyDescent="0.25">
      <c r="B12" t="s">
        <v>8</v>
      </c>
    </row>
    <row r="13" spans="1:3" ht="45" x14ac:dyDescent="0.25">
      <c r="C13" s="9" t="s">
        <v>9</v>
      </c>
    </row>
    <row r="14" spans="1:3" x14ac:dyDescent="0.25">
      <c r="B14" t="s">
        <v>10</v>
      </c>
    </row>
    <row r="15" spans="1:3" x14ac:dyDescent="0.25">
      <c r="B15" t="s">
        <v>11</v>
      </c>
    </row>
    <row r="16" spans="1:3" ht="60" x14ac:dyDescent="0.25">
      <c r="C16" s="9" t="s">
        <v>12</v>
      </c>
    </row>
    <row r="17" spans="1:3" ht="60" x14ac:dyDescent="0.25">
      <c r="C17" s="9" t="s">
        <v>13</v>
      </c>
    </row>
    <row r="18" spans="1:3" x14ac:dyDescent="0.25">
      <c r="B18" t="s">
        <v>14</v>
      </c>
    </row>
    <row r="19" spans="1:3" x14ac:dyDescent="0.25">
      <c r="C19" t="s">
        <v>15</v>
      </c>
    </row>
    <row r="20" spans="1:3" ht="30.75" customHeight="1" x14ac:dyDescent="0.25">
      <c r="B20" s="15" t="s">
        <v>16</v>
      </c>
      <c r="C20" s="15"/>
    </row>
    <row r="22" spans="1:3" s="11" customFormat="1" x14ac:dyDescent="0.25">
      <c r="A22" s="10" t="s">
        <v>17</v>
      </c>
    </row>
    <row r="23" spans="1:3" x14ac:dyDescent="0.25">
      <c r="B23" t="s">
        <v>18</v>
      </c>
    </row>
    <row r="24" spans="1:3" x14ac:dyDescent="0.25">
      <c r="B24" t="s">
        <v>19</v>
      </c>
    </row>
    <row r="25" spans="1:3" x14ac:dyDescent="0.25">
      <c r="B25" t="s">
        <v>20</v>
      </c>
    </row>
    <row r="26" spans="1:3" x14ac:dyDescent="0.25">
      <c r="B26" t="s">
        <v>21</v>
      </c>
    </row>
    <row r="27" spans="1:3" x14ac:dyDescent="0.25">
      <c r="B27" t="s">
        <v>22</v>
      </c>
    </row>
  </sheetData>
  <mergeCells count="5">
    <mergeCell ref="A1:C1"/>
    <mergeCell ref="B4:C4"/>
    <mergeCell ref="B7:C7"/>
    <mergeCell ref="B8:C8"/>
    <mergeCell ref="B20:C2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7B06-4A7B-48C8-8186-4DED38935257}">
  <dimension ref="A1:M100"/>
  <sheetViews>
    <sheetView workbookViewId="0">
      <pane xSplit="3" ySplit="1" topLeftCell="D2" activePane="bottomRight" state="frozen"/>
      <selection pane="topRight" activeCell="C1" sqref="C1"/>
      <selection pane="bottomLeft" activeCell="A2" sqref="A2"/>
      <selection pane="bottomRight" sqref="A1:XFD1"/>
    </sheetView>
  </sheetViews>
  <sheetFormatPr defaultRowHeight="15" x14ac:dyDescent="0.25"/>
  <cols>
    <col min="1" max="2" width="10.7109375" customWidth="1"/>
    <col min="3" max="3" width="60.7109375" customWidth="1"/>
    <col min="4" max="14" width="25.7109375" customWidth="1"/>
  </cols>
  <sheetData>
    <row r="1" spans="1:13" s="1" customFormat="1" ht="45" customHeight="1" x14ac:dyDescent="0.25">
      <c r="A1" s="1" t="s">
        <v>23</v>
      </c>
      <c r="B1" s="1" t="s">
        <v>24</v>
      </c>
      <c r="C1" s="1" t="s">
        <v>25</v>
      </c>
      <c r="D1" s="1" t="s">
        <v>26</v>
      </c>
      <c r="E1" s="1" t="s">
        <v>27</v>
      </c>
      <c r="F1" s="1" t="s">
        <v>28</v>
      </c>
      <c r="G1" s="1" t="s">
        <v>29</v>
      </c>
      <c r="H1" s="1" t="s">
        <v>30</v>
      </c>
      <c r="I1" s="1" t="s">
        <v>31</v>
      </c>
      <c r="J1" s="1" t="s">
        <v>266</v>
      </c>
      <c r="K1" s="1" t="s">
        <v>32</v>
      </c>
      <c r="L1" s="1" t="s">
        <v>33</v>
      </c>
      <c r="M1" s="1" t="s">
        <v>34</v>
      </c>
    </row>
    <row r="2" spans="1:13" x14ac:dyDescent="0.25">
      <c r="A2" s="3" t="str">
        <f>INDEX(CodeMinutesTable[Frequently Used],MATCH(UnitsTable[[#This Row],[Billing Code]],CodeMinutesTable[Code],0))</f>
        <v>Yes</v>
      </c>
      <c r="B2" s="3" t="s">
        <v>35</v>
      </c>
      <c r="C2" t="s">
        <v>36</v>
      </c>
      <c r="D2" s="2">
        <v>0</v>
      </c>
      <c r="E2" s="2">
        <v>0</v>
      </c>
      <c r="F2" s="2">
        <v>0</v>
      </c>
      <c r="G2" s="2">
        <v>0</v>
      </c>
      <c r="H2" s="2">
        <v>0</v>
      </c>
      <c r="I2" s="2">
        <v>0</v>
      </c>
      <c r="J2" s="2">
        <v>0</v>
      </c>
      <c r="K2" s="2">
        <v>0</v>
      </c>
      <c r="L2" s="2">
        <v>0</v>
      </c>
      <c r="M2" s="2">
        <f>SUM(UnitsTable[[#This Row],[Physicians Assistant]:[Peer Recovery Specialist]])</f>
        <v>0</v>
      </c>
    </row>
    <row r="3" spans="1:13" x14ac:dyDescent="0.25">
      <c r="A3" s="3" t="str">
        <f>INDEX(CodeMinutesTable[Frequently Used],MATCH(UnitsTable[[#This Row],[Billing Code]],CodeMinutesTable[Code],0))</f>
        <v>Yes</v>
      </c>
      <c r="B3" s="3" t="s">
        <v>37</v>
      </c>
      <c r="C3" t="s">
        <v>38</v>
      </c>
      <c r="D3" s="2">
        <v>0</v>
      </c>
      <c r="E3" s="2">
        <v>0</v>
      </c>
      <c r="F3" s="2">
        <v>0</v>
      </c>
      <c r="G3" s="2">
        <v>0</v>
      </c>
      <c r="H3" s="2">
        <v>0</v>
      </c>
      <c r="I3" s="2">
        <v>0</v>
      </c>
      <c r="J3" s="2">
        <v>0</v>
      </c>
      <c r="K3" s="2">
        <v>0</v>
      </c>
      <c r="L3" s="2">
        <v>0</v>
      </c>
      <c r="M3" s="2">
        <f>SUM(UnitsTable[[#This Row],[Physicians Assistant]:[Peer Recovery Specialist]])</f>
        <v>0</v>
      </c>
    </row>
    <row r="4" spans="1:13" x14ac:dyDescent="0.25">
      <c r="A4" s="3" t="str">
        <f>INDEX(CodeMinutesTable[Frequently Used],MATCH(UnitsTable[[#This Row],[Billing Code]],CodeMinutesTable[Code],0))</f>
        <v>Yes</v>
      </c>
      <c r="B4" s="3" t="s">
        <v>39</v>
      </c>
      <c r="C4" t="s">
        <v>40</v>
      </c>
      <c r="D4" s="2">
        <v>0</v>
      </c>
      <c r="E4" s="2">
        <v>0</v>
      </c>
      <c r="F4" s="2">
        <v>0</v>
      </c>
      <c r="G4" s="2">
        <v>0</v>
      </c>
      <c r="H4" s="2">
        <v>0</v>
      </c>
      <c r="I4" s="2">
        <v>0</v>
      </c>
      <c r="J4" s="2">
        <v>0</v>
      </c>
      <c r="K4" s="2">
        <v>0</v>
      </c>
      <c r="L4" s="2">
        <v>0</v>
      </c>
      <c r="M4" s="2">
        <f>SUM(UnitsTable[[#This Row],[Physicians Assistant]:[Peer Recovery Specialist]])</f>
        <v>0</v>
      </c>
    </row>
    <row r="5" spans="1:13" x14ac:dyDescent="0.25">
      <c r="A5" s="3" t="str">
        <f>INDEX(CodeMinutesTable[Frequently Used],MATCH(UnitsTable[[#This Row],[Billing Code]],CodeMinutesTable[Code],0))</f>
        <v>Yes</v>
      </c>
      <c r="B5" s="3" t="s">
        <v>41</v>
      </c>
      <c r="C5" t="s">
        <v>42</v>
      </c>
      <c r="D5" s="2">
        <v>0</v>
      </c>
      <c r="E5" s="2">
        <v>0</v>
      </c>
      <c r="F5" s="2">
        <v>0</v>
      </c>
      <c r="G5" s="2">
        <v>0</v>
      </c>
      <c r="H5" s="2">
        <v>0</v>
      </c>
      <c r="I5" s="2">
        <v>0</v>
      </c>
      <c r="J5" s="2">
        <v>0</v>
      </c>
      <c r="K5" s="2">
        <v>0</v>
      </c>
      <c r="L5" s="2">
        <v>0</v>
      </c>
      <c r="M5" s="2">
        <f>SUM(UnitsTable[[#This Row],[Physicians Assistant]:[Peer Recovery Specialist]])</f>
        <v>0</v>
      </c>
    </row>
    <row r="6" spans="1:13" x14ac:dyDescent="0.25">
      <c r="A6" s="3" t="str">
        <f>INDEX(CodeMinutesTable[Frequently Used],MATCH(UnitsTable[[#This Row],[Billing Code]],CodeMinutesTable[Code],0))</f>
        <v>Yes</v>
      </c>
      <c r="B6" s="3" t="s">
        <v>43</v>
      </c>
      <c r="C6" t="s">
        <v>44</v>
      </c>
      <c r="D6" s="2">
        <v>0</v>
      </c>
      <c r="E6" s="2">
        <v>0</v>
      </c>
      <c r="F6" s="2">
        <v>0</v>
      </c>
      <c r="G6" s="2">
        <v>0</v>
      </c>
      <c r="H6" s="2">
        <v>0</v>
      </c>
      <c r="I6" s="2">
        <v>0</v>
      </c>
      <c r="J6" s="2">
        <v>0</v>
      </c>
      <c r="K6" s="2">
        <v>0</v>
      </c>
      <c r="L6" s="2">
        <v>0</v>
      </c>
      <c r="M6" s="2">
        <f>SUM(UnitsTable[[#This Row],[Physicians Assistant]:[Peer Recovery Specialist]])</f>
        <v>0</v>
      </c>
    </row>
    <row r="7" spans="1:13" x14ac:dyDescent="0.25">
      <c r="A7" s="3" t="str">
        <f>INDEX(CodeMinutesTable[Frequently Used],MATCH(UnitsTable[[#This Row],[Billing Code]],CodeMinutesTable[Code],0))</f>
        <v>Yes</v>
      </c>
      <c r="B7" s="3" t="s">
        <v>45</v>
      </c>
      <c r="C7" t="s">
        <v>46</v>
      </c>
      <c r="D7" s="2">
        <v>0</v>
      </c>
      <c r="E7" s="2">
        <v>0</v>
      </c>
      <c r="F7" s="2">
        <v>0</v>
      </c>
      <c r="G7" s="2">
        <v>0</v>
      </c>
      <c r="H7" s="2">
        <v>0</v>
      </c>
      <c r="I7" s="2">
        <v>0</v>
      </c>
      <c r="J7" s="2">
        <v>0</v>
      </c>
      <c r="K7" s="2">
        <v>0</v>
      </c>
      <c r="L7" s="2">
        <v>0</v>
      </c>
      <c r="M7" s="2">
        <f>SUM(UnitsTable[[#This Row],[Physicians Assistant]:[Peer Recovery Specialist]])</f>
        <v>0</v>
      </c>
    </row>
    <row r="8" spans="1:13" hidden="1" x14ac:dyDescent="0.25">
      <c r="A8" s="3" t="str">
        <f>INDEX(CodeMinutesTable[Frequently Used],MATCH(UnitsTable[[#This Row],[Billing Code]],CodeMinutesTable[Code],0))</f>
        <v>No</v>
      </c>
      <c r="B8" s="3" t="s">
        <v>47</v>
      </c>
      <c r="C8" t="s">
        <v>48</v>
      </c>
      <c r="D8" s="2">
        <v>0</v>
      </c>
      <c r="E8" s="2">
        <v>0</v>
      </c>
      <c r="F8" s="2">
        <v>0</v>
      </c>
      <c r="G8" s="2">
        <v>0</v>
      </c>
      <c r="H8" s="2">
        <v>0</v>
      </c>
      <c r="I8" s="2">
        <v>0</v>
      </c>
      <c r="J8" s="2">
        <v>0</v>
      </c>
      <c r="K8" s="2">
        <v>0</v>
      </c>
      <c r="L8" s="2">
        <v>0</v>
      </c>
      <c r="M8" s="2">
        <f>SUM(UnitsTable[[#This Row],[Physicians Assistant]:[Peer Recovery Specialist]])</f>
        <v>0</v>
      </c>
    </row>
    <row r="9" spans="1:13" hidden="1" x14ac:dyDescent="0.25">
      <c r="A9" s="3" t="str">
        <f>INDEX(CodeMinutesTable[Frequently Used],MATCH(UnitsTable[[#This Row],[Billing Code]],CodeMinutesTable[Code],0))</f>
        <v>No</v>
      </c>
      <c r="B9" s="3" t="s">
        <v>49</v>
      </c>
      <c r="C9" t="s">
        <v>50</v>
      </c>
      <c r="D9" s="2">
        <v>0</v>
      </c>
      <c r="E9" s="2">
        <v>0</v>
      </c>
      <c r="F9" s="2">
        <v>0</v>
      </c>
      <c r="G9" s="2">
        <v>0</v>
      </c>
      <c r="H9" s="2">
        <v>0</v>
      </c>
      <c r="I9" s="2">
        <v>0</v>
      </c>
      <c r="J9" s="2">
        <v>0</v>
      </c>
      <c r="K9" s="2">
        <v>0</v>
      </c>
      <c r="L9" s="2">
        <v>0</v>
      </c>
      <c r="M9" s="2">
        <f>SUM(UnitsTable[[#This Row],[Physicians Assistant]:[Peer Recovery Specialist]])</f>
        <v>0</v>
      </c>
    </row>
    <row r="10" spans="1:13" hidden="1" x14ac:dyDescent="0.25">
      <c r="A10" s="3" t="str">
        <f>INDEX(CodeMinutesTable[Frequently Used],MATCH(UnitsTable[[#This Row],[Billing Code]],CodeMinutesTable[Code],0))</f>
        <v>No</v>
      </c>
      <c r="B10" s="3" t="s">
        <v>51</v>
      </c>
      <c r="C10" t="s">
        <v>52</v>
      </c>
      <c r="D10" s="2">
        <v>0</v>
      </c>
      <c r="E10" s="2">
        <v>0</v>
      </c>
      <c r="F10" s="2">
        <v>0</v>
      </c>
      <c r="G10" s="2">
        <v>0</v>
      </c>
      <c r="H10" s="2">
        <v>0</v>
      </c>
      <c r="I10" s="2">
        <v>0</v>
      </c>
      <c r="J10" s="2">
        <v>0</v>
      </c>
      <c r="K10" s="2">
        <v>0</v>
      </c>
      <c r="L10" s="2">
        <v>0</v>
      </c>
      <c r="M10" s="2">
        <f>SUM(UnitsTable[[#This Row],[Physicians Assistant]:[Peer Recovery Specialist]])</f>
        <v>0</v>
      </c>
    </row>
    <row r="11" spans="1:13" hidden="1" x14ac:dyDescent="0.25">
      <c r="A11" s="3" t="str">
        <f>INDEX(CodeMinutesTable[Frequently Used],MATCH(UnitsTable[[#This Row],[Billing Code]],CodeMinutesTable[Code],0))</f>
        <v>No</v>
      </c>
      <c r="B11" s="3" t="s">
        <v>53</v>
      </c>
      <c r="C11" t="s">
        <v>54</v>
      </c>
      <c r="D11" s="2">
        <v>0</v>
      </c>
      <c r="E11" s="2">
        <v>0</v>
      </c>
      <c r="F11" s="2">
        <v>0</v>
      </c>
      <c r="G11" s="2">
        <v>0</v>
      </c>
      <c r="H11" s="2">
        <v>0</v>
      </c>
      <c r="I11" s="2">
        <v>0</v>
      </c>
      <c r="J11" s="2">
        <v>0</v>
      </c>
      <c r="K11" s="2">
        <v>0</v>
      </c>
      <c r="L11" s="2">
        <v>0</v>
      </c>
      <c r="M11" s="2">
        <f>SUM(UnitsTable[[#This Row],[Physicians Assistant]:[Peer Recovery Specialist]])</f>
        <v>0</v>
      </c>
    </row>
    <row r="12" spans="1:13" x14ac:dyDescent="0.25">
      <c r="A12" s="3" t="str">
        <f>INDEX(CodeMinutesTable[Frequently Used],MATCH(UnitsTable[[#This Row],[Billing Code]],CodeMinutesTable[Code],0))</f>
        <v>Yes</v>
      </c>
      <c r="B12" s="3" t="s">
        <v>55</v>
      </c>
      <c r="C12" t="s">
        <v>56</v>
      </c>
      <c r="D12" s="2">
        <v>0</v>
      </c>
      <c r="E12" s="2">
        <v>0</v>
      </c>
      <c r="F12" s="2">
        <v>0</v>
      </c>
      <c r="G12" s="2">
        <v>0</v>
      </c>
      <c r="H12" s="2">
        <v>0</v>
      </c>
      <c r="I12" s="2">
        <v>0</v>
      </c>
      <c r="J12" s="2">
        <v>0</v>
      </c>
      <c r="K12" s="2">
        <v>0</v>
      </c>
      <c r="L12" s="2">
        <v>0</v>
      </c>
      <c r="M12" s="2">
        <f>SUM(UnitsTable[[#This Row],[Physicians Assistant]:[Peer Recovery Specialist]])</f>
        <v>0</v>
      </c>
    </row>
    <row r="13" spans="1:13" hidden="1" x14ac:dyDescent="0.25">
      <c r="A13" s="3" t="str">
        <f>INDEX(CodeMinutesTable[Frequently Used],MATCH(UnitsTable[[#This Row],[Billing Code]],CodeMinutesTable[Code],0))</f>
        <v>No</v>
      </c>
      <c r="B13" s="3" t="s">
        <v>57</v>
      </c>
      <c r="C13" t="s">
        <v>58</v>
      </c>
      <c r="D13" s="2">
        <v>0</v>
      </c>
      <c r="E13" s="2">
        <v>0</v>
      </c>
      <c r="F13" s="2">
        <v>0</v>
      </c>
      <c r="G13" s="2">
        <v>0</v>
      </c>
      <c r="H13" s="2">
        <v>0</v>
      </c>
      <c r="I13" s="2">
        <v>0</v>
      </c>
      <c r="J13" s="2">
        <v>0</v>
      </c>
      <c r="K13" s="2">
        <v>0</v>
      </c>
      <c r="L13" s="2">
        <v>0</v>
      </c>
      <c r="M13" s="2">
        <f>SUM(UnitsTable[[#This Row],[Physicians Assistant]:[Peer Recovery Specialist]])</f>
        <v>0</v>
      </c>
    </row>
    <row r="14" spans="1:13" hidden="1" x14ac:dyDescent="0.25">
      <c r="A14" s="3" t="str">
        <f>INDEX(CodeMinutesTable[Frequently Used],MATCH(UnitsTable[[#This Row],[Billing Code]],CodeMinutesTable[Code],0))</f>
        <v>No</v>
      </c>
      <c r="B14" s="3" t="s">
        <v>59</v>
      </c>
      <c r="C14" t="s">
        <v>60</v>
      </c>
      <c r="D14" s="2">
        <v>0</v>
      </c>
      <c r="E14" s="2">
        <v>0</v>
      </c>
      <c r="F14" s="2">
        <v>0</v>
      </c>
      <c r="G14" s="2">
        <v>0</v>
      </c>
      <c r="H14" s="2">
        <v>0</v>
      </c>
      <c r="I14" s="2">
        <v>0</v>
      </c>
      <c r="J14" s="2">
        <v>0</v>
      </c>
      <c r="K14" s="2">
        <v>0</v>
      </c>
      <c r="L14" s="2">
        <v>0</v>
      </c>
      <c r="M14" s="2">
        <f>SUM(UnitsTable[[#This Row],[Physicians Assistant]:[Peer Recovery Specialist]])</f>
        <v>0</v>
      </c>
    </row>
    <row r="15" spans="1:13" x14ac:dyDescent="0.25">
      <c r="A15" s="3" t="str">
        <f>INDEX(CodeMinutesTable[Frequently Used],MATCH(UnitsTable[[#This Row],[Billing Code]],CodeMinutesTable[Code],0))</f>
        <v>Yes</v>
      </c>
      <c r="B15" s="3" t="s">
        <v>61</v>
      </c>
      <c r="C15" t="s">
        <v>62</v>
      </c>
      <c r="D15" s="2">
        <v>0</v>
      </c>
      <c r="E15" s="2">
        <v>0</v>
      </c>
      <c r="F15" s="2">
        <v>0</v>
      </c>
      <c r="G15" s="2">
        <v>0</v>
      </c>
      <c r="H15" s="2">
        <v>0</v>
      </c>
      <c r="I15" s="2">
        <v>0</v>
      </c>
      <c r="J15" s="2">
        <v>0</v>
      </c>
      <c r="K15" s="2">
        <v>0</v>
      </c>
      <c r="L15" s="2">
        <v>0</v>
      </c>
      <c r="M15" s="2">
        <f>SUM(UnitsTable[[#This Row],[Physicians Assistant]:[Peer Recovery Specialist]])</f>
        <v>0</v>
      </c>
    </row>
    <row r="16" spans="1:13" x14ac:dyDescent="0.25">
      <c r="A16" s="3" t="str">
        <f>INDEX(CodeMinutesTable[Frequently Used],MATCH(UnitsTable[[#This Row],[Billing Code]],CodeMinutesTable[Code],0))</f>
        <v>Yes</v>
      </c>
      <c r="B16" s="3" t="s">
        <v>63</v>
      </c>
      <c r="C16" t="s">
        <v>64</v>
      </c>
      <c r="D16" s="2">
        <v>0</v>
      </c>
      <c r="E16" s="2">
        <v>0</v>
      </c>
      <c r="F16" s="2">
        <v>0</v>
      </c>
      <c r="G16" s="2">
        <v>0</v>
      </c>
      <c r="H16" s="2">
        <v>0</v>
      </c>
      <c r="I16" s="2">
        <v>0</v>
      </c>
      <c r="J16" s="2">
        <v>0</v>
      </c>
      <c r="K16" s="2">
        <v>0</v>
      </c>
      <c r="L16" s="2">
        <v>0</v>
      </c>
      <c r="M16" s="2">
        <f>SUM(UnitsTable[[#This Row],[Physicians Assistant]:[Peer Recovery Specialist]])</f>
        <v>0</v>
      </c>
    </row>
    <row r="17" spans="1:13" x14ac:dyDescent="0.25">
      <c r="A17" s="3" t="str">
        <f>INDEX(CodeMinutesTable[Frequently Used],MATCH(UnitsTable[[#This Row],[Billing Code]],CodeMinutesTable[Code],0))</f>
        <v>Yes</v>
      </c>
      <c r="B17" s="3" t="s">
        <v>65</v>
      </c>
      <c r="C17" t="s">
        <v>66</v>
      </c>
      <c r="D17" s="2">
        <v>0</v>
      </c>
      <c r="E17" s="2">
        <v>0</v>
      </c>
      <c r="F17" s="2">
        <v>0</v>
      </c>
      <c r="G17" s="2">
        <v>0</v>
      </c>
      <c r="H17" s="2">
        <v>0</v>
      </c>
      <c r="I17" s="2">
        <v>0</v>
      </c>
      <c r="J17" s="2">
        <v>0</v>
      </c>
      <c r="K17" s="2">
        <v>0</v>
      </c>
      <c r="L17" s="2">
        <v>0</v>
      </c>
      <c r="M17" s="2">
        <f>SUM(UnitsTable[[#This Row],[Physicians Assistant]:[Peer Recovery Specialist]])</f>
        <v>0</v>
      </c>
    </row>
    <row r="18" spans="1:13" x14ac:dyDescent="0.25">
      <c r="A18" s="3" t="str">
        <f>INDEX(CodeMinutesTable[Frequently Used],MATCH(UnitsTable[[#This Row],[Billing Code]],CodeMinutesTable[Code],0))</f>
        <v>Yes</v>
      </c>
      <c r="B18" s="3" t="s">
        <v>67</v>
      </c>
      <c r="C18" t="s">
        <v>68</v>
      </c>
      <c r="D18" s="2">
        <v>0</v>
      </c>
      <c r="E18" s="2">
        <v>0</v>
      </c>
      <c r="F18" s="2">
        <v>0</v>
      </c>
      <c r="G18" s="2">
        <v>0</v>
      </c>
      <c r="H18" s="2">
        <v>0</v>
      </c>
      <c r="I18" s="2">
        <v>0</v>
      </c>
      <c r="J18" s="2">
        <v>0</v>
      </c>
      <c r="K18" s="2">
        <v>0</v>
      </c>
      <c r="L18" s="2">
        <v>0</v>
      </c>
      <c r="M18" s="2">
        <f>SUM(UnitsTable[[#This Row],[Physicians Assistant]:[Peer Recovery Specialist]])</f>
        <v>0</v>
      </c>
    </row>
    <row r="19" spans="1:13" x14ac:dyDescent="0.25">
      <c r="A19" s="3" t="str">
        <f>INDEX(CodeMinutesTable[Frequently Used],MATCH(UnitsTable[[#This Row],[Billing Code]],CodeMinutesTable[Code],0))</f>
        <v>Yes</v>
      </c>
      <c r="B19" s="3" t="s">
        <v>69</v>
      </c>
      <c r="C19" t="s">
        <v>70</v>
      </c>
      <c r="D19" s="2">
        <v>0</v>
      </c>
      <c r="E19" s="2">
        <v>0</v>
      </c>
      <c r="F19" s="2">
        <v>0</v>
      </c>
      <c r="G19" s="2">
        <v>0</v>
      </c>
      <c r="H19" s="2">
        <v>0</v>
      </c>
      <c r="I19" s="2">
        <v>0</v>
      </c>
      <c r="J19" s="2">
        <v>0</v>
      </c>
      <c r="K19" s="2">
        <v>0</v>
      </c>
      <c r="L19" s="2">
        <v>0</v>
      </c>
      <c r="M19" s="2">
        <f>SUM(UnitsTable[[#This Row],[Physicians Assistant]:[Peer Recovery Specialist]])</f>
        <v>0</v>
      </c>
    </row>
    <row r="20" spans="1:13" x14ac:dyDescent="0.25">
      <c r="A20" s="3" t="str">
        <f>INDEX(CodeMinutesTable[Frequently Used],MATCH(UnitsTable[[#This Row],[Billing Code]],CodeMinutesTable[Code],0))</f>
        <v>Yes</v>
      </c>
      <c r="B20" s="3" t="s">
        <v>71</v>
      </c>
      <c r="C20" t="s">
        <v>72</v>
      </c>
      <c r="D20" s="2">
        <v>0</v>
      </c>
      <c r="E20" s="2">
        <v>0</v>
      </c>
      <c r="F20" s="2">
        <v>0</v>
      </c>
      <c r="G20" s="2">
        <v>0</v>
      </c>
      <c r="H20" s="2">
        <v>0</v>
      </c>
      <c r="I20" s="2">
        <v>0</v>
      </c>
      <c r="J20" s="2">
        <v>0</v>
      </c>
      <c r="K20" s="2">
        <v>0</v>
      </c>
      <c r="L20" s="2">
        <v>0</v>
      </c>
      <c r="M20" s="2">
        <f>SUM(UnitsTable[[#This Row],[Physicians Assistant]:[Peer Recovery Specialist]])</f>
        <v>0</v>
      </c>
    </row>
    <row r="21" spans="1:13" x14ac:dyDescent="0.25">
      <c r="A21" s="3" t="str">
        <f>INDEX(CodeMinutesTable[Frequently Used],MATCH(UnitsTable[[#This Row],[Billing Code]],CodeMinutesTable[Code],0))</f>
        <v>Yes</v>
      </c>
      <c r="B21" s="3" t="s">
        <v>73</v>
      </c>
      <c r="C21" t="s">
        <v>74</v>
      </c>
      <c r="D21" s="2">
        <v>0</v>
      </c>
      <c r="E21" s="2">
        <v>0</v>
      </c>
      <c r="F21" s="2">
        <v>0</v>
      </c>
      <c r="G21" s="2">
        <v>0</v>
      </c>
      <c r="H21" s="2">
        <v>0</v>
      </c>
      <c r="I21" s="2">
        <v>0</v>
      </c>
      <c r="J21" s="2">
        <v>0</v>
      </c>
      <c r="K21" s="2">
        <v>0</v>
      </c>
      <c r="L21" s="2">
        <v>0</v>
      </c>
      <c r="M21" s="2">
        <f>SUM(UnitsTable[[#This Row],[Physicians Assistant]:[Peer Recovery Specialist]])</f>
        <v>0</v>
      </c>
    </row>
    <row r="22" spans="1:13" x14ac:dyDescent="0.25">
      <c r="A22" s="3" t="str">
        <f>INDEX(CodeMinutesTable[Frequently Used],MATCH(UnitsTable[[#This Row],[Billing Code]],CodeMinutesTable[Code],0))</f>
        <v>Yes</v>
      </c>
      <c r="B22" s="3" t="s">
        <v>75</v>
      </c>
      <c r="C22" t="s">
        <v>76</v>
      </c>
      <c r="D22" s="2">
        <v>0</v>
      </c>
      <c r="E22" s="2">
        <v>0</v>
      </c>
      <c r="F22" s="2">
        <v>0</v>
      </c>
      <c r="G22" s="2">
        <v>0</v>
      </c>
      <c r="H22" s="2">
        <v>0</v>
      </c>
      <c r="I22" s="2">
        <v>0</v>
      </c>
      <c r="J22" s="2">
        <v>0</v>
      </c>
      <c r="K22" s="2">
        <v>0</v>
      </c>
      <c r="L22" s="2">
        <v>0</v>
      </c>
      <c r="M22" s="2">
        <f>SUM(UnitsTable[[#This Row],[Physicians Assistant]:[Peer Recovery Specialist]])</f>
        <v>0</v>
      </c>
    </row>
    <row r="23" spans="1:13" x14ac:dyDescent="0.25">
      <c r="A23" s="3" t="str">
        <f>INDEX(CodeMinutesTable[Frequently Used],MATCH(UnitsTable[[#This Row],[Billing Code]],CodeMinutesTable[Code],0))</f>
        <v>Yes</v>
      </c>
      <c r="B23" s="3" t="s">
        <v>77</v>
      </c>
      <c r="C23" t="s">
        <v>78</v>
      </c>
      <c r="D23" s="2">
        <v>0</v>
      </c>
      <c r="E23" s="2">
        <v>0</v>
      </c>
      <c r="F23" s="2">
        <v>0</v>
      </c>
      <c r="G23" s="2">
        <v>0</v>
      </c>
      <c r="H23" s="2">
        <v>0</v>
      </c>
      <c r="I23" s="2">
        <v>0</v>
      </c>
      <c r="J23" s="2">
        <v>0</v>
      </c>
      <c r="K23" s="2">
        <v>0</v>
      </c>
      <c r="L23" s="2">
        <v>0</v>
      </c>
      <c r="M23" s="2">
        <f>SUM(UnitsTable[[#This Row],[Physicians Assistant]:[Peer Recovery Specialist]])</f>
        <v>0</v>
      </c>
    </row>
    <row r="24" spans="1:13" x14ac:dyDescent="0.25">
      <c r="A24" s="3" t="str">
        <f>INDEX(CodeMinutesTable[Frequently Used],MATCH(UnitsTable[[#This Row],[Billing Code]],CodeMinutesTable[Code],0))</f>
        <v>Yes</v>
      </c>
      <c r="B24" s="3" t="s">
        <v>79</v>
      </c>
      <c r="C24" t="s">
        <v>80</v>
      </c>
      <c r="D24" s="2">
        <v>0</v>
      </c>
      <c r="E24" s="2">
        <v>0</v>
      </c>
      <c r="F24" s="2">
        <v>0</v>
      </c>
      <c r="G24" s="2">
        <v>0</v>
      </c>
      <c r="H24" s="2">
        <v>0</v>
      </c>
      <c r="I24" s="2">
        <v>0</v>
      </c>
      <c r="J24" s="2">
        <v>0</v>
      </c>
      <c r="K24" s="2">
        <v>0</v>
      </c>
      <c r="L24" s="2">
        <v>0</v>
      </c>
      <c r="M24" s="2">
        <f>SUM(UnitsTable[[#This Row],[Physicians Assistant]:[Peer Recovery Specialist]])</f>
        <v>0</v>
      </c>
    </row>
    <row r="25" spans="1:13" x14ac:dyDescent="0.25">
      <c r="A25" s="3" t="str">
        <f>INDEX(CodeMinutesTable[Frequently Used],MATCH(UnitsTable[[#This Row],[Billing Code]],CodeMinutesTable[Code],0))</f>
        <v>Yes</v>
      </c>
      <c r="B25" s="3" t="s">
        <v>81</v>
      </c>
      <c r="C25" t="s">
        <v>82</v>
      </c>
      <c r="D25" s="2">
        <v>0</v>
      </c>
      <c r="E25" s="2">
        <v>0</v>
      </c>
      <c r="F25" s="2">
        <v>0</v>
      </c>
      <c r="G25" s="2">
        <v>0</v>
      </c>
      <c r="H25" s="2">
        <v>0</v>
      </c>
      <c r="I25" s="2">
        <v>0</v>
      </c>
      <c r="J25" s="2">
        <v>0</v>
      </c>
      <c r="K25" s="2">
        <v>0</v>
      </c>
      <c r="L25" s="2">
        <v>0</v>
      </c>
      <c r="M25" s="2">
        <f>SUM(UnitsTable[[#This Row],[Physicians Assistant]:[Peer Recovery Specialist]])</f>
        <v>0</v>
      </c>
    </row>
    <row r="26" spans="1:13" x14ac:dyDescent="0.25">
      <c r="A26" s="3" t="str">
        <f>INDEX(CodeMinutesTable[Frequently Used],MATCH(UnitsTable[[#This Row],[Billing Code]],CodeMinutesTable[Code],0))</f>
        <v>Yes</v>
      </c>
      <c r="B26" s="3" t="s">
        <v>83</v>
      </c>
      <c r="C26" t="s">
        <v>84</v>
      </c>
      <c r="D26" s="2">
        <v>0</v>
      </c>
      <c r="E26" s="2">
        <v>0</v>
      </c>
      <c r="F26" s="2">
        <v>0</v>
      </c>
      <c r="G26" s="2">
        <v>0</v>
      </c>
      <c r="H26" s="2">
        <v>0</v>
      </c>
      <c r="I26" s="2">
        <v>0</v>
      </c>
      <c r="J26" s="2">
        <v>0</v>
      </c>
      <c r="K26" s="2">
        <v>0</v>
      </c>
      <c r="L26" s="2">
        <v>0</v>
      </c>
      <c r="M26" s="2">
        <f>SUM(UnitsTable[[#This Row],[Physicians Assistant]:[Peer Recovery Specialist]])</f>
        <v>0</v>
      </c>
    </row>
    <row r="27" spans="1:13" x14ac:dyDescent="0.25">
      <c r="A27" s="3" t="str">
        <f>INDEX(CodeMinutesTable[Frequently Used],MATCH(UnitsTable[[#This Row],[Billing Code]],CodeMinutesTable[Code],0))</f>
        <v>Yes</v>
      </c>
      <c r="B27" s="3" t="s">
        <v>85</v>
      </c>
      <c r="C27" t="s">
        <v>86</v>
      </c>
      <c r="D27" s="2">
        <v>0</v>
      </c>
      <c r="E27" s="2">
        <v>0</v>
      </c>
      <c r="F27" s="2">
        <v>0</v>
      </c>
      <c r="G27" s="2">
        <v>0</v>
      </c>
      <c r="H27" s="2">
        <v>0</v>
      </c>
      <c r="I27" s="2">
        <v>0</v>
      </c>
      <c r="J27" s="2">
        <v>0</v>
      </c>
      <c r="K27" s="2">
        <v>0</v>
      </c>
      <c r="L27" s="2">
        <v>0</v>
      </c>
      <c r="M27" s="2">
        <f>SUM(UnitsTable[[#This Row],[Physicians Assistant]:[Peer Recovery Specialist]])</f>
        <v>0</v>
      </c>
    </row>
    <row r="28" spans="1:13" x14ac:dyDescent="0.25">
      <c r="A28" s="3" t="str">
        <f>INDEX(CodeMinutesTable[Frequently Used],MATCH(UnitsTable[[#This Row],[Billing Code]],CodeMinutesTable[Code],0))</f>
        <v>Yes</v>
      </c>
      <c r="B28" s="3" t="s">
        <v>87</v>
      </c>
      <c r="C28" t="s">
        <v>88</v>
      </c>
      <c r="D28" s="2">
        <v>0</v>
      </c>
      <c r="E28" s="2">
        <v>0</v>
      </c>
      <c r="F28" s="2">
        <v>0</v>
      </c>
      <c r="G28" s="2">
        <v>0</v>
      </c>
      <c r="H28" s="2">
        <v>0</v>
      </c>
      <c r="I28" s="2">
        <v>0</v>
      </c>
      <c r="J28" s="2">
        <v>0</v>
      </c>
      <c r="K28" s="2">
        <v>0</v>
      </c>
      <c r="L28" s="2">
        <v>0</v>
      </c>
      <c r="M28" s="2">
        <f>SUM(UnitsTable[[#This Row],[Physicians Assistant]:[Peer Recovery Specialist]])</f>
        <v>0</v>
      </c>
    </row>
    <row r="29" spans="1:13" hidden="1" x14ac:dyDescent="0.25">
      <c r="A29" s="3" t="str">
        <f>INDEX(CodeMinutesTable[Frequently Used],MATCH(UnitsTable[[#This Row],[Billing Code]],CodeMinutesTable[Code],0))</f>
        <v>No</v>
      </c>
      <c r="B29" s="3" t="s">
        <v>89</v>
      </c>
      <c r="C29" t="s">
        <v>90</v>
      </c>
      <c r="D29" s="2">
        <v>0</v>
      </c>
      <c r="E29" s="2">
        <v>0</v>
      </c>
      <c r="F29" s="2">
        <v>0</v>
      </c>
      <c r="G29" s="2">
        <v>0</v>
      </c>
      <c r="H29" s="2">
        <v>0</v>
      </c>
      <c r="I29" s="2">
        <v>0</v>
      </c>
      <c r="J29" s="2">
        <v>0</v>
      </c>
      <c r="K29" s="2">
        <v>0</v>
      </c>
      <c r="L29" s="2">
        <v>0</v>
      </c>
      <c r="M29" s="2">
        <f>SUM(UnitsTable[[#This Row],[Physicians Assistant]:[Peer Recovery Specialist]])</f>
        <v>0</v>
      </c>
    </row>
    <row r="30" spans="1:13" hidden="1" x14ac:dyDescent="0.25">
      <c r="A30" s="3" t="str">
        <f>INDEX(CodeMinutesTable[Frequently Used],MATCH(UnitsTable[[#This Row],[Billing Code]],CodeMinutesTable[Code],0))</f>
        <v>No</v>
      </c>
      <c r="B30" s="3" t="s">
        <v>91</v>
      </c>
      <c r="C30" t="s">
        <v>92</v>
      </c>
      <c r="D30" s="2">
        <v>0</v>
      </c>
      <c r="E30" s="2">
        <v>0</v>
      </c>
      <c r="F30" s="2">
        <v>0</v>
      </c>
      <c r="G30" s="2">
        <v>0</v>
      </c>
      <c r="H30" s="2">
        <v>0</v>
      </c>
      <c r="I30" s="2">
        <v>0</v>
      </c>
      <c r="J30" s="2">
        <v>0</v>
      </c>
      <c r="K30" s="2">
        <v>0</v>
      </c>
      <c r="L30" s="2">
        <v>0</v>
      </c>
      <c r="M30" s="2">
        <f>SUM(UnitsTable[[#This Row],[Physicians Assistant]:[Peer Recovery Specialist]])</f>
        <v>0</v>
      </c>
    </row>
    <row r="31" spans="1:13" hidden="1" x14ac:dyDescent="0.25">
      <c r="A31" s="3" t="str">
        <f>INDEX(CodeMinutesTable[Frequently Used],MATCH(UnitsTable[[#This Row],[Billing Code]],CodeMinutesTable[Code],0))</f>
        <v>No</v>
      </c>
      <c r="B31" s="3" t="s">
        <v>93</v>
      </c>
      <c r="C31" t="s">
        <v>94</v>
      </c>
      <c r="D31" s="2">
        <v>0</v>
      </c>
      <c r="E31" s="2">
        <v>0</v>
      </c>
      <c r="F31" s="2">
        <v>0</v>
      </c>
      <c r="G31" s="2">
        <v>0</v>
      </c>
      <c r="H31" s="2">
        <v>0</v>
      </c>
      <c r="I31" s="2">
        <v>0</v>
      </c>
      <c r="J31" s="2">
        <v>0</v>
      </c>
      <c r="K31" s="2">
        <v>0</v>
      </c>
      <c r="L31" s="2">
        <v>0</v>
      </c>
      <c r="M31" s="2">
        <f>SUM(UnitsTable[[#This Row],[Physicians Assistant]:[Peer Recovery Specialist]])</f>
        <v>0</v>
      </c>
    </row>
    <row r="32" spans="1:13" hidden="1" x14ac:dyDescent="0.25">
      <c r="A32" s="3" t="str">
        <f>INDEX(CodeMinutesTable[Frequently Used],MATCH(UnitsTable[[#This Row],[Billing Code]],CodeMinutesTable[Code],0))</f>
        <v>No</v>
      </c>
      <c r="B32" s="3" t="s">
        <v>95</v>
      </c>
      <c r="C32" t="s">
        <v>96</v>
      </c>
      <c r="D32" s="2">
        <v>0</v>
      </c>
      <c r="E32" s="2">
        <v>0</v>
      </c>
      <c r="F32" s="2">
        <v>0</v>
      </c>
      <c r="G32" s="2">
        <v>0</v>
      </c>
      <c r="H32" s="2">
        <v>0</v>
      </c>
      <c r="I32" s="2">
        <v>0</v>
      </c>
      <c r="J32" s="2">
        <v>0</v>
      </c>
      <c r="K32" s="2">
        <v>0</v>
      </c>
      <c r="L32" s="2">
        <v>0</v>
      </c>
      <c r="M32" s="2">
        <f>SUM(UnitsTable[[#This Row],[Physicians Assistant]:[Peer Recovery Specialist]])</f>
        <v>0</v>
      </c>
    </row>
    <row r="33" spans="1:13" hidden="1" x14ac:dyDescent="0.25">
      <c r="A33" s="3" t="str">
        <f>INDEX(CodeMinutesTable[Frequently Used],MATCH(UnitsTable[[#This Row],[Billing Code]],CodeMinutesTable[Code],0))</f>
        <v>No</v>
      </c>
      <c r="B33" s="3" t="s">
        <v>97</v>
      </c>
      <c r="C33" t="s">
        <v>98</v>
      </c>
      <c r="D33" s="2">
        <v>0</v>
      </c>
      <c r="E33" s="2">
        <v>0</v>
      </c>
      <c r="F33" s="2">
        <v>0</v>
      </c>
      <c r="G33" s="2">
        <v>0</v>
      </c>
      <c r="H33" s="2">
        <v>0</v>
      </c>
      <c r="I33" s="2">
        <v>0</v>
      </c>
      <c r="J33" s="2">
        <v>0</v>
      </c>
      <c r="K33" s="2">
        <v>0</v>
      </c>
      <c r="L33" s="2">
        <v>0</v>
      </c>
      <c r="M33" s="2">
        <f>SUM(UnitsTable[[#This Row],[Physicians Assistant]:[Peer Recovery Specialist]])</f>
        <v>0</v>
      </c>
    </row>
    <row r="34" spans="1:13" hidden="1" x14ac:dyDescent="0.25">
      <c r="A34" s="3" t="str">
        <f>INDEX(CodeMinutesTable[Frequently Used],MATCH(UnitsTable[[#This Row],[Billing Code]],CodeMinutesTable[Code],0))</f>
        <v>No</v>
      </c>
      <c r="B34" s="3" t="s">
        <v>99</v>
      </c>
      <c r="C34" t="s">
        <v>100</v>
      </c>
      <c r="D34" s="2">
        <v>0</v>
      </c>
      <c r="E34" s="2">
        <v>0</v>
      </c>
      <c r="F34" s="2">
        <v>0</v>
      </c>
      <c r="G34" s="2">
        <v>0</v>
      </c>
      <c r="H34" s="2">
        <v>0</v>
      </c>
      <c r="I34" s="2">
        <v>0</v>
      </c>
      <c r="J34" s="2">
        <v>0</v>
      </c>
      <c r="K34" s="2">
        <v>0</v>
      </c>
      <c r="L34" s="2">
        <v>0</v>
      </c>
      <c r="M34" s="2">
        <f>SUM(UnitsTable[[#This Row],[Physicians Assistant]:[Peer Recovery Specialist]])</f>
        <v>0</v>
      </c>
    </row>
    <row r="35" spans="1:13" hidden="1" x14ac:dyDescent="0.25">
      <c r="A35" s="3" t="str">
        <f>INDEX(CodeMinutesTable[Frequently Used],MATCH(UnitsTable[[#This Row],[Billing Code]],CodeMinutesTable[Code],0))</f>
        <v>No</v>
      </c>
      <c r="B35" s="3" t="s">
        <v>101</v>
      </c>
      <c r="C35" t="s">
        <v>102</v>
      </c>
      <c r="D35" s="2">
        <v>0</v>
      </c>
      <c r="E35" s="2">
        <v>0</v>
      </c>
      <c r="F35" s="2">
        <v>0</v>
      </c>
      <c r="G35" s="2">
        <v>0</v>
      </c>
      <c r="H35" s="2">
        <v>0</v>
      </c>
      <c r="I35" s="2">
        <v>0</v>
      </c>
      <c r="J35" s="2">
        <v>0</v>
      </c>
      <c r="K35" s="2">
        <v>0</v>
      </c>
      <c r="L35" s="2">
        <v>0</v>
      </c>
      <c r="M35" s="2">
        <f>SUM(UnitsTable[[#This Row],[Physicians Assistant]:[Peer Recovery Specialist]])</f>
        <v>0</v>
      </c>
    </row>
    <row r="36" spans="1:13" hidden="1" x14ac:dyDescent="0.25">
      <c r="A36" s="3" t="str">
        <f>INDEX(CodeMinutesTable[Frequently Used],MATCH(UnitsTable[[#This Row],[Billing Code]],CodeMinutesTable[Code],0))</f>
        <v>No</v>
      </c>
      <c r="B36" s="3" t="s">
        <v>103</v>
      </c>
      <c r="C36" t="s">
        <v>104</v>
      </c>
      <c r="D36" s="2">
        <v>0</v>
      </c>
      <c r="E36" s="2">
        <v>0</v>
      </c>
      <c r="F36" s="2">
        <v>0</v>
      </c>
      <c r="G36" s="2">
        <v>0</v>
      </c>
      <c r="H36" s="2">
        <v>0</v>
      </c>
      <c r="I36" s="2">
        <v>0</v>
      </c>
      <c r="J36" s="2">
        <v>0</v>
      </c>
      <c r="K36" s="2">
        <v>0</v>
      </c>
      <c r="L36" s="2">
        <v>0</v>
      </c>
      <c r="M36" s="2">
        <f>SUM(UnitsTable[[#This Row],[Physicians Assistant]:[Peer Recovery Specialist]])</f>
        <v>0</v>
      </c>
    </row>
    <row r="37" spans="1:13" hidden="1" x14ac:dyDescent="0.25">
      <c r="A37" s="3" t="str">
        <f>INDEX(CodeMinutesTable[Frequently Used],MATCH(UnitsTable[[#This Row],[Billing Code]],CodeMinutesTable[Code],0))</f>
        <v>No</v>
      </c>
      <c r="B37" s="3" t="s">
        <v>105</v>
      </c>
      <c r="C37" t="s">
        <v>106</v>
      </c>
      <c r="D37" s="2">
        <v>0</v>
      </c>
      <c r="E37" s="2">
        <v>0</v>
      </c>
      <c r="F37" s="2">
        <v>0</v>
      </c>
      <c r="G37" s="2">
        <v>0</v>
      </c>
      <c r="H37" s="2">
        <v>0</v>
      </c>
      <c r="I37" s="2">
        <v>0</v>
      </c>
      <c r="J37" s="2">
        <v>0</v>
      </c>
      <c r="K37" s="2">
        <v>0</v>
      </c>
      <c r="L37" s="2">
        <v>0</v>
      </c>
      <c r="M37" s="2">
        <f>SUM(UnitsTable[[#This Row],[Physicians Assistant]:[Peer Recovery Specialist]])</f>
        <v>0</v>
      </c>
    </row>
    <row r="38" spans="1:13" hidden="1" x14ac:dyDescent="0.25">
      <c r="A38" s="3" t="str">
        <f>INDEX(CodeMinutesTable[Frequently Used],MATCH(UnitsTable[[#This Row],[Billing Code]],CodeMinutesTable[Code],0))</f>
        <v>No</v>
      </c>
      <c r="B38" s="3" t="s">
        <v>107</v>
      </c>
      <c r="C38" t="s">
        <v>108</v>
      </c>
      <c r="D38" s="2">
        <v>0</v>
      </c>
      <c r="E38" s="2">
        <v>0</v>
      </c>
      <c r="F38" s="2">
        <v>0</v>
      </c>
      <c r="G38" s="2">
        <v>0</v>
      </c>
      <c r="H38" s="2">
        <v>0</v>
      </c>
      <c r="I38" s="2">
        <v>0</v>
      </c>
      <c r="J38" s="2">
        <v>0</v>
      </c>
      <c r="K38" s="2">
        <v>0</v>
      </c>
      <c r="L38" s="2">
        <v>0</v>
      </c>
      <c r="M38" s="2">
        <f>SUM(UnitsTable[[#This Row],[Physicians Assistant]:[Peer Recovery Specialist]])</f>
        <v>0</v>
      </c>
    </row>
    <row r="39" spans="1:13" hidden="1" x14ac:dyDescent="0.25">
      <c r="A39" s="3" t="str">
        <f>INDEX(CodeMinutesTable[Frequently Used],MATCH(UnitsTable[[#This Row],[Billing Code]],CodeMinutesTable[Code],0))</f>
        <v>No</v>
      </c>
      <c r="B39" s="3" t="s">
        <v>109</v>
      </c>
      <c r="C39" t="s">
        <v>110</v>
      </c>
      <c r="D39" s="2">
        <v>0</v>
      </c>
      <c r="E39" s="2">
        <v>0</v>
      </c>
      <c r="F39" s="2">
        <v>0</v>
      </c>
      <c r="G39" s="2">
        <v>0</v>
      </c>
      <c r="H39" s="2">
        <v>0</v>
      </c>
      <c r="I39" s="2">
        <v>0</v>
      </c>
      <c r="J39" s="2">
        <v>0</v>
      </c>
      <c r="K39" s="2">
        <v>0</v>
      </c>
      <c r="L39" s="2">
        <v>0</v>
      </c>
      <c r="M39" s="2">
        <f>SUM(UnitsTable[[#This Row],[Physicians Assistant]:[Peer Recovery Specialist]])</f>
        <v>0</v>
      </c>
    </row>
    <row r="40" spans="1:13" x14ac:dyDescent="0.25">
      <c r="A40" s="3" t="str">
        <f>INDEX(CodeMinutesTable[Frequently Used],MATCH(UnitsTable[[#This Row],[Billing Code]],CodeMinutesTable[Code],0))</f>
        <v>Yes</v>
      </c>
      <c r="B40" s="3" t="s">
        <v>111</v>
      </c>
      <c r="C40" t="s">
        <v>112</v>
      </c>
      <c r="D40" s="2">
        <v>0</v>
      </c>
      <c r="E40" s="2">
        <v>0</v>
      </c>
      <c r="F40" s="2">
        <v>0</v>
      </c>
      <c r="G40" s="2">
        <v>0</v>
      </c>
      <c r="H40" s="2">
        <v>0</v>
      </c>
      <c r="I40" s="2">
        <v>0</v>
      </c>
      <c r="J40" s="2">
        <v>0</v>
      </c>
      <c r="K40" s="2">
        <v>0</v>
      </c>
      <c r="L40" s="2">
        <v>0</v>
      </c>
      <c r="M40" s="2">
        <f>SUM(UnitsTable[[#This Row],[Physicians Assistant]:[Peer Recovery Specialist]])</f>
        <v>0</v>
      </c>
    </row>
    <row r="41" spans="1:13" x14ac:dyDescent="0.25">
      <c r="A41" s="3" t="str">
        <f>INDEX(CodeMinutesTable[Frequently Used],MATCH(UnitsTable[[#This Row],[Billing Code]],CodeMinutesTable[Code],0))</f>
        <v>Yes</v>
      </c>
      <c r="B41" s="3" t="s">
        <v>113</v>
      </c>
      <c r="C41" t="s">
        <v>114</v>
      </c>
      <c r="D41" s="2">
        <v>0</v>
      </c>
      <c r="E41" s="2">
        <v>0</v>
      </c>
      <c r="F41" s="2">
        <v>0</v>
      </c>
      <c r="G41" s="2">
        <v>0</v>
      </c>
      <c r="H41" s="2">
        <v>0</v>
      </c>
      <c r="I41" s="2">
        <v>0</v>
      </c>
      <c r="J41" s="2">
        <v>0</v>
      </c>
      <c r="K41" s="2">
        <v>0</v>
      </c>
      <c r="L41" s="2">
        <v>0</v>
      </c>
      <c r="M41" s="2">
        <f>SUM(UnitsTable[[#This Row],[Physicians Assistant]:[Peer Recovery Specialist]])</f>
        <v>0</v>
      </c>
    </row>
    <row r="42" spans="1:13" x14ac:dyDescent="0.25">
      <c r="A42" s="3" t="str">
        <f>INDEX(CodeMinutesTable[Frequently Used],MATCH(UnitsTable[[#This Row],[Billing Code]],CodeMinutesTable[Code],0))</f>
        <v>Yes</v>
      </c>
      <c r="B42" s="3" t="s">
        <v>115</v>
      </c>
      <c r="C42" t="s">
        <v>116</v>
      </c>
      <c r="D42" s="2">
        <v>0</v>
      </c>
      <c r="E42" s="2">
        <v>0</v>
      </c>
      <c r="F42" s="2">
        <v>0</v>
      </c>
      <c r="G42" s="2">
        <v>0</v>
      </c>
      <c r="H42" s="2">
        <v>0</v>
      </c>
      <c r="I42" s="2">
        <v>0</v>
      </c>
      <c r="J42" s="2">
        <v>0</v>
      </c>
      <c r="K42" s="2">
        <v>0</v>
      </c>
      <c r="L42" s="2">
        <v>0</v>
      </c>
      <c r="M42" s="2">
        <f>SUM(UnitsTable[[#This Row],[Physicians Assistant]:[Peer Recovery Specialist]])</f>
        <v>0</v>
      </c>
    </row>
    <row r="43" spans="1:13" x14ac:dyDescent="0.25">
      <c r="A43" s="3" t="str">
        <f>INDEX(CodeMinutesTable[Frequently Used],MATCH(UnitsTable[[#This Row],[Billing Code]],CodeMinutesTable[Code],0))</f>
        <v>Yes</v>
      </c>
      <c r="B43" s="3" t="s">
        <v>117</v>
      </c>
      <c r="C43" t="s">
        <v>118</v>
      </c>
      <c r="D43" s="2">
        <v>0</v>
      </c>
      <c r="E43" s="2">
        <v>0</v>
      </c>
      <c r="F43" s="2">
        <v>0</v>
      </c>
      <c r="G43" s="2">
        <v>0</v>
      </c>
      <c r="H43" s="2">
        <v>0</v>
      </c>
      <c r="I43" s="2">
        <v>0</v>
      </c>
      <c r="J43" s="2">
        <v>0</v>
      </c>
      <c r="K43" s="2">
        <v>0</v>
      </c>
      <c r="L43" s="2">
        <v>0</v>
      </c>
      <c r="M43" s="2">
        <f>SUM(UnitsTable[[#This Row],[Physicians Assistant]:[Peer Recovery Specialist]])</f>
        <v>0</v>
      </c>
    </row>
    <row r="44" spans="1:13" x14ac:dyDescent="0.25">
      <c r="A44" s="3" t="str">
        <f>INDEX(CodeMinutesTable[Frequently Used],MATCH(UnitsTable[[#This Row],[Billing Code]],CodeMinutesTable[Code],0))</f>
        <v>Yes</v>
      </c>
      <c r="B44" s="3" t="s">
        <v>119</v>
      </c>
      <c r="C44" t="s">
        <v>120</v>
      </c>
      <c r="D44" s="2">
        <v>0</v>
      </c>
      <c r="E44" s="2">
        <v>0</v>
      </c>
      <c r="F44" s="2">
        <v>0</v>
      </c>
      <c r="G44" s="2">
        <v>0</v>
      </c>
      <c r="H44" s="2">
        <v>0</v>
      </c>
      <c r="I44" s="2">
        <v>0</v>
      </c>
      <c r="J44" s="2">
        <v>0</v>
      </c>
      <c r="K44" s="2">
        <v>0</v>
      </c>
      <c r="L44" s="2">
        <v>0</v>
      </c>
      <c r="M44" s="2">
        <f>SUM(UnitsTable[[#This Row],[Physicians Assistant]:[Peer Recovery Specialist]])</f>
        <v>0</v>
      </c>
    </row>
    <row r="45" spans="1:13" x14ac:dyDescent="0.25">
      <c r="A45" s="3" t="str">
        <f>INDEX(CodeMinutesTable[Frequently Used],MATCH(UnitsTable[[#This Row],[Billing Code]],CodeMinutesTable[Code],0))</f>
        <v>Yes</v>
      </c>
      <c r="B45" s="3" t="s">
        <v>121</v>
      </c>
      <c r="C45" t="s">
        <v>122</v>
      </c>
      <c r="D45" s="2">
        <v>0</v>
      </c>
      <c r="E45" s="2">
        <v>0</v>
      </c>
      <c r="F45" s="2">
        <v>0</v>
      </c>
      <c r="G45" s="2">
        <v>0</v>
      </c>
      <c r="H45" s="2">
        <v>0</v>
      </c>
      <c r="I45" s="2">
        <v>0</v>
      </c>
      <c r="J45" s="2">
        <v>0</v>
      </c>
      <c r="K45" s="2">
        <v>0</v>
      </c>
      <c r="L45" s="2">
        <v>0</v>
      </c>
      <c r="M45" s="2">
        <f>SUM(UnitsTable[[#This Row],[Physicians Assistant]:[Peer Recovery Specialist]])</f>
        <v>0</v>
      </c>
    </row>
    <row r="46" spans="1:13" x14ac:dyDescent="0.25">
      <c r="A46" s="3" t="str">
        <f>INDEX(CodeMinutesTable[Frequently Used],MATCH(UnitsTable[[#This Row],[Billing Code]],CodeMinutesTable[Code],0))</f>
        <v>Yes</v>
      </c>
      <c r="B46" s="3" t="s">
        <v>123</v>
      </c>
      <c r="C46" t="s">
        <v>124</v>
      </c>
      <c r="D46" s="2">
        <v>0</v>
      </c>
      <c r="E46" s="2">
        <v>0</v>
      </c>
      <c r="F46" s="2">
        <v>0</v>
      </c>
      <c r="G46" s="2">
        <v>0</v>
      </c>
      <c r="H46" s="2">
        <v>0</v>
      </c>
      <c r="I46" s="2">
        <v>0</v>
      </c>
      <c r="J46" s="2">
        <v>0</v>
      </c>
      <c r="K46" s="2">
        <v>0</v>
      </c>
      <c r="L46" s="2">
        <v>0</v>
      </c>
      <c r="M46" s="2">
        <f>SUM(UnitsTable[[#This Row],[Physicians Assistant]:[Peer Recovery Specialist]])</f>
        <v>0</v>
      </c>
    </row>
    <row r="47" spans="1:13" x14ac:dyDescent="0.25">
      <c r="A47" s="3" t="str">
        <f>INDEX(CodeMinutesTable[Frequently Used],MATCH(UnitsTable[[#This Row],[Billing Code]],CodeMinutesTable[Code],0))</f>
        <v>Yes</v>
      </c>
      <c r="B47" s="3" t="s">
        <v>125</v>
      </c>
      <c r="C47" t="s">
        <v>126</v>
      </c>
      <c r="D47" s="2">
        <v>0</v>
      </c>
      <c r="E47" s="2">
        <v>0</v>
      </c>
      <c r="F47" s="2">
        <v>0</v>
      </c>
      <c r="G47" s="2">
        <v>0</v>
      </c>
      <c r="H47" s="2">
        <v>0</v>
      </c>
      <c r="I47" s="2">
        <v>0</v>
      </c>
      <c r="J47" s="2">
        <v>0</v>
      </c>
      <c r="K47" s="2">
        <v>0</v>
      </c>
      <c r="L47" s="2">
        <v>0</v>
      </c>
      <c r="M47" s="2">
        <f>SUM(UnitsTable[[#This Row],[Physicians Assistant]:[Peer Recovery Specialist]])</f>
        <v>0</v>
      </c>
    </row>
    <row r="48" spans="1:13" x14ac:dyDescent="0.25">
      <c r="A48" s="3" t="str">
        <f>INDEX(CodeMinutesTable[Frequently Used],MATCH(UnitsTable[[#This Row],[Billing Code]],CodeMinutesTable[Code],0))</f>
        <v>Yes</v>
      </c>
      <c r="B48" s="3" t="s">
        <v>127</v>
      </c>
      <c r="C48" t="s">
        <v>128</v>
      </c>
      <c r="D48" s="2">
        <v>0</v>
      </c>
      <c r="E48" s="2">
        <v>0</v>
      </c>
      <c r="F48" s="2">
        <v>0</v>
      </c>
      <c r="G48" s="2">
        <v>0</v>
      </c>
      <c r="H48" s="2">
        <v>0</v>
      </c>
      <c r="I48" s="2">
        <v>0</v>
      </c>
      <c r="J48" s="2">
        <v>0</v>
      </c>
      <c r="K48" s="2">
        <v>0</v>
      </c>
      <c r="L48" s="2">
        <v>0</v>
      </c>
      <c r="M48" s="2">
        <f>SUM(UnitsTable[[#This Row],[Physicians Assistant]:[Peer Recovery Specialist]])</f>
        <v>0</v>
      </c>
    </row>
    <row r="49" spans="1:13" x14ac:dyDescent="0.25">
      <c r="A49" s="3" t="str">
        <f>INDEX(CodeMinutesTable[Frequently Used],MATCH(UnitsTable[[#This Row],[Billing Code]],CodeMinutesTable[Code],0))</f>
        <v>Yes</v>
      </c>
      <c r="B49" s="3" t="s">
        <v>129</v>
      </c>
      <c r="C49" t="s">
        <v>130</v>
      </c>
      <c r="D49" s="2">
        <v>0</v>
      </c>
      <c r="E49" s="2">
        <v>0</v>
      </c>
      <c r="F49" s="2">
        <v>0</v>
      </c>
      <c r="G49" s="2">
        <v>0</v>
      </c>
      <c r="H49" s="2">
        <v>0</v>
      </c>
      <c r="I49" s="2">
        <v>0</v>
      </c>
      <c r="J49" s="2">
        <v>0</v>
      </c>
      <c r="K49" s="2">
        <v>0</v>
      </c>
      <c r="L49" s="2">
        <v>0</v>
      </c>
      <c r="M49" s="2">
        <f>SUM(UnitsTable[[#This Row],[Physicians Assistant]:[Peer Recovery Specialist]])</f>
        <v>0</v>
      </c>
    </row>
    <row r="50" spans="1:13" x14ac:dyDescent="0.25">
      <c r="A50" s="3" t="str">
        <f>INDEX(CodeMinutesTable[Frequently Used],MATCH(UnitsTable[[#This Row],[Billing Code]],CodeMinutesTable[Code],0))</f>
        <v>Yes</v>
      </c>
      <c r="B50" s="3" t="s">
        <v>131</v>
      </c>
      <c r="C50" t="s">
        <v>132</v>
      </c>
      <c r="D50" s="2">
        <v>0</v>
      </c>
      <c r="E50" s="2">
        <v>0</v>
      </c>
      <c r="F50" s="2">
        <v>0</v>
      </c>
      <c r="G50" s="2">
        <v>0</v>
      </c>
      <c r="H50" s="2">
        <v>0</v>
      </c>
      <c r="I50" s="2">
        <v>0</v>
      </c>
      <c r="J50" s="2">
        <v>0</v>
      </c>
      <c r="K50" s="2">
        <v>0</v>
      </c>
      <c r="L50" s="2">
        <v>0</v>
      </c>
      <c r="M50" s="2">
        <f>SUM(UnitsTable[[#This Row],[Physicians Assistant]:[Peer Recovery Specialist]])</f>
        <v>0</v>
      </c>
    </row>
    <row r="51" spans="1:13" x14ac:dyDescent="0.25">
      <c r="A51" s="3" t="str">
        <f>INDEX(CodeMinutesTable[Frequently Used],MATCH(UnitsTable[[#This Row],[Billing Code]],CodeMinutesTable[Code],0))</f>
        <v>Yes</v>
      </c>
      <c r="B51" s="3" t="s">
        <v>133</v>
      </c>
      <c r="C51" t="s">
        <v>134</v>
      </c>
      <c r="D51" s="2">
        <v>0</v>
      </c>
      <c r="E51" s="2">
        <v>0</v>
      </c>
      <c r="F51" s="2">
        <v>0</v>
      </c>
      <c r="G51" s="2">
        <v>0</v>
      </c>
      <c r="H51" s="2">
        <v>0</v>
      </c>
      <c r="I51" s="2">
        <v>0</v>
      </c>
      <c r="J51" s="2">
        <v>0</v>
      </c>
      <c r="K51" s="2">
        <v>0</v>
      </c>
      <c r="L51" s="2">
        <v>0</v>
      </c>
      <c r="M51" s="2">
        <f>SUM(UnitsTable[[#This Row],[Physicians Assistant]:[Peer Recovery Specialist]])</f>
        <v>0</v>
      </c>
    </row>
    <row r="52" spans="1:13" x14ac:dyDescent="0.25">
      <c r="A52" s="3" t="str">
        <f>INDEX(CodeMinutesTable[Frequently Used],MATCH(UnitsTable[[#This Row],[Billing Code]],CodeMinutesTable[Code],0))</f>
        <v>Yes</v>
      </c>
      <c r="B52" s="3" t="s">
        <v>135</v>
      </c>
      <c r="C52" t="s">
        <v>136</v>
      </c>
      <c r="D52" s="2">
        <v>0</v>
      </c>
      <c r="E52" s="2">
        <v>0</v>
      </c>
      <c r="F52" s="2">
        <v>0</v>
      </c>
      <c r="G52" s="2">
        <v>0</v>
      </c>
      <c r="H52" s="2">
        <v>0</v>
      </c>
      <c r="I52" s="2">
        <v>0</v>
      </c>
      <c r="J52" s="2">
        <v>0</v>
      </c>
      <c r="K52" s="2">
        <v>0</v>
      </c>
      <c r="L52" s="2">
        <v>0</v>
      </c>
      <c r="M52" s="2">
        <f>SUM(UnitsTable[[#This Row],[Physicians Assistant]:[Peer Recovery Specialist]])</f>
        <v>0</v>
      </c>
    </row>
    <row r="53" spans="1:13" x14ac:dyDescent="0.25">
      <c r="A53" s="3" t="str">
        <f>INDEX(CodeMinutesTable[Frequently Used],MATCH(UnitsTable[[#This Row],[Billing Code]],CodeMinutesTable[Code],0))</f>
        <v>Yes</v>
      </c>
      <c r="B53" s="3" t="s">
        <v>137</v>
      </c>
      <c r="C53" t="s">
        <v>138</v>
      </c>
      <c r="D53" s="2">
        <v>0</v>
      </c>
      <c r="E53" s="2">
        <v>0</v>
      </c>
      <c r="F53" s="2">
        <v>0</v>
      </c>
      <c r="G53" s="2">
        <v>0</v>
      </c>
      <c r="H53" s="2">
        <v>0</v>
      </c>
      <c r="I53" s="2">
        <v>0</v>
      </c>
      <c r="J53" s="2">
        <v>0</v>
      </c>
      <c r="K53" s="2">
        <v>0</v>
      </c>
      <c r="L53" s="2">
        <v>0</v>
      </c>
      <c r="M53" s="2">
        <f>SUM(UnitsTable[[#This Row],[Physicians Assistant]:[Peer Recovery Specialist]])</f>
        <v>0</v>
      </c>
    </row>
    <row r="54" spans="1:13" x14ac:dyDescent="0.25">
      <c r="A54" s="3" t="str">
        <f>INDEX(CodeMinutesTable[Frequently Used],MATCH(UnitsTable[[#This Row],[Billing Code]],CodeMinutesTable[Code],0))</f>
        <v>Yes</v>
      </c>
      <c r="B54" s="3" t="s">
        <v>139</v>
      </c>
      <c r="C54" t="s">
        <v>140</v>
      </c>
      <c r="D54" s="2">
        <v>0</v>
      </c>
      <c r="E54" s="2">
        <v>0</v>
      </c>
      <c r="F54" s="2">
        <v>0</v>
      </c>
      <c r="G54" s="2">
        <v>0</v>
      </c>
      <c r="H54" s="2">
        <v>0</v>
      </c>
      <c r="I54" s="2">
        <v>0</v>
      </c>
      <c r="J54" s="2">
        <v>0</v>
      </c>
      <c r="K54" s="2">
        <v>0</v>
      </c>
      <c r="L54" s="2">
        <v>0</v>
      </c>
      <c r="M54" s="2">
        <f>SUM(UnitsTable[[#This Row],[Physicians Assistant]:[Peer Recovery Specialist]])</f>
        <v>0</v>
      </c>
    </row>
    <row r="55" spans="1:13" x14ac:dyDescent="0.25">
      <c r="A55" s="3" t="str">
        <f>INDEX(CodeMinutesTable[Frequently Used],MATCH(UnitsTable[[#This Row],[Billing Code]],CodeMinutesTable[Code],0))</f>
        <v>Yes</v>
      </c>
      <c r="B55" s="3" t="s">
        <v>141</v>
      </c>
      <c r="C55" t="s">
        <v>142</v>
      </c>
      <c r="D55" s="2">
        <v>0</v>
      </c>
      <c r="E55" s="2">
        <v>0</v>
      </c>
      <c r="F55" s="2">
        <v>0</v>
      </c>
      <c r="G55" s="2">
        <v>0</v>
      </c>
      <c r="H55" s="2">
        <v>0</v>
      </c>
      <c r="I55" s="2">
        <v>0</v>
      </c>
      <c r="J55" s="2">
        <v>0</v>
      </c>
      <c r="K55" s="2">
        <v>0</v>
      </c>
      <c r="L55" s="2">
        <v>0</v>
      </c>
      <c r="M55" s="2">
        <f>SUM(UnitsTable[[#This Row],[Physicians Assistant]:[Peer Recovery Specialist]])</f>
        <v>0</v>
      </c>
    </row>
    <row r="56" spans="1:13" x14ac:dyDescent="0.25">
      <c r="A56" s="3" t="str">
        <f>INDEX(CodeMinutesTable[Frequently Used],MATCH(UnitsTable[[#This Row],[Billing Code]],CodeMinutesTable[Code],0))</f>
        <v>Yes</v>
      </c>
      <c r="B56" s="3" t="s">
        <v>143</v>
      </c>
      <c r="C56" t="s">
        <v>144</v>
      </c>
      <c r="D56" s="2">
        <v>0</v>
      </c>
      <c r="E56" s="2">
        <v>0</v>
      </c>
      <c r="F56" s="2">
        <v>0</v>
      </c>
      <c r="G56" s="2">
        <v>0</v>
      </c>
      <c r="H56" s="2">
        <v>0</v>
      </c>
      <c r="I56" s="2">
        <v>0</v>
      </c>
      <c r="J56" s="2">
        <v>0</v>
      </c>
      <c r="K56" s="2">
        <v>0</v>
      </c>
      <c r="L56" s="2">
        <v>0</v>
      </c>
      <c r="M56" s="2">
        <f>SUM(UnitsTable[[#This Row],[Physicians Assistant]:[Peer Recovery Specialist]])</f>
        <v>0</v>
      </c>
    </row>
    <row r="57" spans="1:13" x14ac:dyDescent="0.25">
      <c r="A57" s="3" t="str">
        <f>INDEX(CodeMinutesTable[Frequently Used],MATCH(UnitsTable[[#This Row],[Billing Code]],CodeMinutesTable[Code],0))</f>
        <v>Yes</v>
      </c>
      <c r="B57" s="3" t="s">
        <v>145</v>
      </c>
      <c r="C57" t="s">
        <v>146</v>
      </c>
      <c r="D57" s="2">
        <v>0</v>
      </c>
      <c r="E57" s="2">
        <v>0</v>
      </c>
      <c r="F57" s="2">
        <v>0</v>
      </c>
      <c r="G57" s="2">
        <v>0</v>
      </c>
      <c r="H57" s="2">
        <v>0</v>
      </c>
      <c r="I57" s="2">
        <v>0</v>
      </c>
      <c r="J57" s="2">
        <v>0</v>
      </c>
      <c r="K57" s="2">
        <v>0</v>
      </c>
      <c r="L57" s="2">
        <v>0</v>
      </c>
      <c r="M57" s="2">
        <f>SUM(UnitsTable[[#This Row],[Physicians Assistant]:[Peer Recovery Specialist]])</f>
        <v>0</v>
      </c>
    </row>
    <row r="58" spans="1:13" x14ac:dyDescent="0.25">
      <c r="A58" s="3" t="str">
        <f>INDEX(CodeMinutesTable[Frequently Used],MATCH(UnitsTable[[#This Row],[Billing Code]],CodeMinutesTable[Code],0))</f>
        <v>Yes</v>
      </c>
      <c r="B58" s="3" t="s">
        <v>147</v>
      </c>
      <c r="C58" t="s">
        <v>148</v>
      </c>
      <c r="D58" s="2">
        <v>0</v>
      </c>
      <c r="E58" s="2">
        <v>0</v>
      </c>
      <c r="F58" s="2">
        <v>0</v>
      </c>
      <c r="G58" s="2">
        <v>0</v>
      </c>
      <c r="H58" s="2">
        <v>0</v>
      </c>
      <c r="I58" s="2">
        <v>0</v>
      </c>
      <c r="J58" s="2">
        <v>0</v>
      </c>
      <c r="K58" s="2">
        <v>0</v>
      </c>
      <c r="L58" s="2">
        <v>0</v>
      </c>
      <c r="M58" s="2">
        <f>SUM(UnitsTable[[#This Row],[Physicians Assistant]:[Peer Recovery Specialist]])</f>
        <v>0</v>
      </c>
    </row>
    <row r="59" spans="1:13" x14ac:dyDescent="0.25">
      <c r="A59" s="3" t="str">
        <f>INDEX(CodeMinutesTable[Frequently Used],MATCH(UnitsTable[[#This Row],[Billing Code]],CodeMinutesTable[Code],0))</f>
        <v>Yes</v>
      </c>
      <c r="B59" s="3" t="s">
        <v>149</v>
      </c>
      <c r="C59" t="s">
        <v>150</v>
      </c>
      <c r="D59" s="2">
        <v>0</v>
      </c>
      <c r="E59" s="2">
        <v>0</v>
      </c>
      <c r="F59" s="2">
        <v>0</v>
      </c>
      <c r="G59" s="2">
        <v>0</v>
      </c>
      <c r="H59" s="2">
        <v>0</v>
      </c>
      <c r="I59" s="2">
        <v>0</v>
      </c>
      <c r="J59" s="2">
        <v>0</v>
      </c>
      <c r="K59" s="2">
        <v>0</v>
      </c>
      <c r="L59" s="2">
        <v>0</v>
      </c>
      <c r="M59" s="2">
        <f>SUM(UnitsTable[[#This Row],[Physicians Assistant]:[Peer Recovery Specialist]])</f>
        <v>0</v>
      </c>
    </row>
    <row r="60" spans="1:13" x14ac:dyDescent="0.25">
      <c r="A60" s="3" t="str">
        <f>INDEX(CodeMinutesTable[Frequently Used],MATCH(UnitsTable[[#This Row],[Billing Code]],CodeMinutesTable[Code],0))</f>
        <v>Yes</v>
      </c>
      <c r="B60" s="3" t="s">
        <v>151</v>
      </c>
      <c r="C60" t="s">
        <v>152</v>
      </c>
      <c r="D60" s="2">
        <v>0</v>
      </c>
      <c r="E60" s="2">
        <v>0</v>
      </c>
      <c r="F60" s="2">
        <v>0</v>
      </c>
      <c r="G60" s="2">
        <v>0</v>
      </c>
      <c r="H60" s="2">
        <v>0</v>
      </c>
      <c r="I60" s="2">
        <v>0</v>
      </c>
      <c r="J60" s="2">
        <v>0</v>
      </c>
      <c r="K60" s="2">
        <v>0</v>
      </c>
      <c r="L60" s="2">
        <v>0</v>
      </c>
      <c r="M60" s="2">
        <f>SUM(UnitsTable[[#This Row],[Physicians Assistant]:[Peer Recovery Specialist]])</f>
        <v>0</v>
      </c>
    </row>
    <row r="61" spans="1:13" x14ac:dyDescent="0.25">
      <c r="A61" s="3" t="str">
        <f>INDEX(CodeMinutesTable[Frequently Used],MATCH(UnitsTable[[#This Row],[Billing Code]],CodeMinutesTable[Code],0))</f>
        <v>Yes</v>
      </c>
      <c r="B61" s="3" t="s">
        <v>153</v>
      </c>
      <c r="C61" t="s">
        <v>154</v>
      </c>
      <c r="D61" s="2">
        <v>0</v>
      </c>
      <c r="E61" s="2">
        <v>0</v>
      </c>
      <c r="F61" s="2">
        <v>0</v>
      </c>
      <c r="G61" s="2">
        <v>0</v>
      </c>
      <c r="H61" s="2">
        <v>0</v>
      </c>
      <c r="I61" s="2">
        <v>0</v>
      </c>
      <c r="J61" s="2">
        <v>0</v>
      </c>
      <c r="K61" s="2">
        <v>0</v>
      </c>
      <c r="L61" s="2">
        <v>0</v>
      </c>
      <c r="M61" s="2">
        <f>SUM(UnitsTable[[#This Row],[Physicians Assistant]:[Peer Recovery Specialist]])</f>
        <v>0</v>
      </c>
    </row>
    <row r="62" spans="1:13" x14ac:dyDescent="0.25">
      <c r="A62" s="3" t="str">
        <f>INDEX(CodeMinutesTable[Frequently Used],MATCH(UnitsTable[[#This Row],[Billing Code]],CodeMinutesTable[Code],0))</f>
        <v>Yes</v>
      </c>
      <c r="B62" s="3" t="s">
        <v>155</v>
      </c>
      <c r="C62" t="s">
        <v>156</v>
      </c>
      <c r="D62" s="2">
        <v>0</v>
      </c>
      <c r="E62" s="2">
        <v>0</v>
      </c>
      <c r="F62" s="2">
        <v>0</v>
      </c>
      <c r="G62" s="2">
        <v>0</v>
      </c>
      <c r="H62" s="2">
        <v>0</v>
      </c>
      <c r="I62" s="2">
        <v>0</v>
      </c>
      <c r="J62" s="2">
        <v>0</v>
      </c>
      <c r="K62" s="2">
        <v>0</v>
      </c>
      <c r="L62" s="2">
        <v>0</v>
      </c>
      <c r="M62" s="2">
        <f>SUM(UnitsTable[[#This Row],[Physicians Assistant]:[Peer Recovery Specialist]])</f>
        <v>0</v>
      </c>
    </row>
    <row r="63" spans="1:13" x14ac:dyDescent="0.25">
      <c r="A63" s="3" t="str">
        <f>INDEX(CodeMinutesTable[Frequently Used],MATCH(UnitsTable[[#This Row],[Billing Code]],CodeMinutesTable[Code],0))</f>
        <v>Yes</v>
      </c>
      <c r="B63" s="3" t="s">
        <v>157</v>
      </c>
      <c r="C63" t="s">
        <v>158</v>
      </c>
      <c r="D63" s="2">
        <v>0</v>
      </c>
      <c r="E63" s="2">
        <v>0</v>
      </c>
      <c r="F63" s="2">
        <v>0</v>
      </c>
      <c r="G63" s="2">
        <v>0</v>
      </c>
      <c r="H63" s="2">
        <v>0</v>
      </c>
      <c r="I63" s="2">
        <v>0</v>
      </c>
      <c r="J63" s="2">
        <v>0</v>
      </c>
      <c r="K63" s="2">
        <v>0</v>
      </c>
      <c r="L63" s="2">
        <v>0</v>
      </c>
      <c r="M63" s="2">
        <f>SUM(UnitsTable[[#This Row],[Physicians Assistant]:[Peer Recovery Specialist]])</f>
        <v>0</v>
      </c>
    </row>
    <row r="64" spans="1:13" x14ac:dyDescent="0.25">
      <c r="A64" s="3" t="str">
        <f>INDEX(CodeMinutesTable[Frequently Used],MATCH(UnitsTable[[#This Row],[Billing Code]],CodeMinutesTable[Code],0))</f>
        <v>Yes</v>
      </c>
      <c r="B64" s="3" t="s">
        <v>159</v>
      </c>
      <c r="C64" t="s">
        <v>160</v>
      </c>
      <c r="D64" s="2">
        <v>0</v>
      </c>
      <c r="E64" s="2">
        <v>0</v>
      </c>
      <c r="F64" s="2">
        <v>0</v>
      </c>
      <c r="G64" s="2">
        <v>0</v>
      </c>
      <c r="H64" s="2">
        <v>0</v>
      </c>
      <c r="I64" s="2">
        <v>0</v>
      </c>
      <c r="J64" s="2">
        <v>0</v>
      </c>
      <c r="K64" s="2">
        <v>0</v>
      </c>
      <c r="L64" s="2">
        <v>0</v>
      </c>
      <c r="M64" s="2">
        <f>SUM(UnitsTable[[#This Row],[Physicians Assistant]:[Peer Recovery Specialist]])</f>
        <v>0</v>
      </c>
    </row>
    <row r="65" spans="1:13" x14ac:dyDescent="0.25">
      <c r="A65" s="3" t="str">
        <f>INDEX(CodeMinutesTable[Frequently Used],MATCH(UnitsTable[[#This Row],[Billing Code]],CodeMinutesTable[Code],0))</f>
        <v>Yes</v>
      </c>
      <c r="B65" s="3" t="s">
        <v>161</v>
      </c>
      <c r="C65" t="s">
        <v>162</v>
      </c>
      <c r="D65" s="2">
        <v>0</v>
      </c>
      <c r="E65" s="2">
        <v>0</v>
      </c>
      <c r="F65" s="2">
        <v>0</v>
      </c>
      <c r="G65" s="2">
        <v>0</v>
      </c>
      <c r="H65" s="2">
        <v>0</v>
      </c>
      <c r="I65" s="2">
        <v>0</v>
      </c>
      <c r="J65" s="2">
        <v>0</v>
      </c>
      <c r="K65" s="2">
        <v>0</v>
      </c>
      <c r="L65" s="2">
        <v>0</v>
      </c>
      <c r="M65" s="2">
        <f>SUM(UnitsTable[[#This Row],[Physicians Assistant]:[Peer Recovery Specialist]])</f>
        <v>0</v>
      </c>
    </row>
    <row r="66" spans="1:13" x14ac:dyDescent="0.25">
      <c r="A66" s="3" t="str">
        <f>INDEX(CodeMinutesTable[Frequently Used],MATCH(UnitsTable[[#This Row],[Billing Code]],CodeMinutesTable[Code],0))</f>
        <v>Yes</v>
      </c>
      <c r="B66" s="3" t="s">
        <v>163</v>
      </c>
      <c r="C66" t="s">
        <v>164</v>
      </c>
      <c r="D66" s="2">
        <v>0</v>
      </c>
      <c r="E66" s="2">
        <v>0</v>
      </c>
      <c r="F66" s="2">
        <v>0</v>
      </c>
      <c r="G66" s="2">
        <v>0</v>
      </c>
      <c r="H66" s="2">
        <v>0</v>
      </c>
      <c r="I66" s="2">
        <v>0</v>
      </c>
      <c r="J66" s="2">
        <v>0</v>
      </c>
      <c r="K66" s="2">
        <v>0</v>
      </c>
      <c r="L66" s="2">
        <v>0</v>
      </c>
      <c r="M66" s="2">
        <f>SUM(UnitsTable[[#This Row],[Physicians Assistant]:[Peer Recovery Specialist]])</f>
        <v>0</v>
      </c>
    </row>
    <row r="67" spans="1:13" x14ac:dyDescent="0.25">
      <c r="A67" s="3" t="str">
        <f>INDEX(CodeMinutesTable[Frequently Used],MATCH(UnitsTable[[#This Row],[Billing Code]],CodeMinutesTable[Code],0))</f>
        <v>Yes</v>
      </c>
      <c r="B67" s="3" t="s">
        <v>165</v>
      </c>
      <c r="C67" t="s">
        <v>166</v>
      </c>
      <c r="D67" s="2">
        <v>0</v>
      </c>
      <c r="E67" s="2">
        <v>0</v>
      </c>
      <c r="F67" s="2">
        <v>0</v>
      </c>
      <c r="G67" s="2">
        <v>0</v>
      </c>
      <c r="H67" s="2">
        <v>0</v>
      </c>
      <c r="I67" s="2">
        <v>0</v>
      </c>
      <c r="J67" s="2">
        <v>0</v>
      </c>
      <c r="K67" s="2">
        <v>0</v>
      </c>
      <c r="L67" s="2">
        <v>0</v>
      </c>
      <c r="M67" s="2">
        <f>SUM(UnitsTable[[#This Row],[Physicians Assistant]:[Peer Recovery Specialist]])</f>
        <v>0</v>
      </c>
    </row>
    <row r="68" spans="1:13" hidden="1" x14ac:dyDescent="0.25">
      <c r="A68" s="3" t="str">
        <f>INDEX(CodeMinutesTable[Frequently Used],MATCH(UnitsTable[[#This Row],[Billing Code]],CodeMinutesTable[Code],0))</f>
        <v>No</v>
      </c>
      <c r="B68" s="3" t="s">
        <v>167</v>
      </c>
      <c r="C68" t="s">
        <v>168</v>
      </c>
      <c r="D68" s="2">
        <v>0</v>
      </c>
      <c r="E68" s="2">
        <v>0</v>
      </c>
      <c r="F68" s="2">
        <v>0</v>
      </c>
      <c r="G68" s="2">
        <v>0</v>
      </c>
      <c r="H68" s="2">
        <v>0</v>
      </c>
      <c r="I68" s="2">
        <v>0</v>
      </c>
      <c r="J68" s="2">
        <v>0</v>
      </c>
      <c r="K68" s="2">
        <v>0</v>
      </c>
      <c r="L68" s="2">
        <v>0</v>
      </c>
      <c r="M68" s="2">
        <f>SUM(UnitsTable[[#This Row],[Physicians Assistant]:[Peer Recovery Specialist]])</f>
        <v>0</v>
      </c>
    </row>
    <row r="69" spans="1:13" hidden="1" x14ac:dyDescent="0.25">
      <c r="A69" s="3" t="str">
        <f>INDEX(CodeMinutesTable[Frequently Used],MATCH(UnitsTable[[#This Row],[Billing Code]],CodeMinutesTable[Code],0))</f>
        <v>No</v>
      </c>
      <c r="B69" s="3" t="s">
        <v>169</v>
      </c>
      <c r="C69" t="s">
        <v>170</v>
      </c>
      <c r="D69" s="2">
        <v>0</v>
      </c>
      <c r="E69" s="2">
        <v>0</v>
      </c>
      <c r="F69" s="2">
        <v>0</v>
      </c>
      <c r="G69" s="2">
        <v>0</v>
      </c>
      <c r="H69" s="2">
        <v>0</v>
      </c>
      <c r="I69" s="2">
        <v>0</v>
      </c>
      <c r="J69" s="2">
        <v>0</v>
      </c>
      <c r="K69" s="2">
        <v>0</v>
      </c>
      <c r="L69" s="2">
        <v>0</v>
      </c>
      <c r="M69" s="2">
        <f>SUM(UnitsTable[[#This Row],[Physicians Assistant]:[Peer Recovery Specialist]])</f>
        <v>0</v>
      </c>
    </row>
    <row r="70" spans="1:13" x14ac:dyDescent="0.25">
      <c r="A70" s="3" t="str">
        <f>INDEX(CodeMinutesTable[Frequently Used],MATCH(UnitsTable[[#This Row],[Billing Code]],CodeMinutesTable[Code],0))</f>
        <v>Yes</v>
      </c>
      <c r="B70" s="3" t="s">
        <v>171</v>
      </c>
      <c r="C70" t="s">
        <v>172</v>
      </c>
      <c r="D70" s="2">
        <v>0</v>
      </c>
      <c r="E70" s="2">
        <v>0</v>
      </c>
      <c r="F70" s="2">
        <v>0</v>
      </c>
      <c r="G70" s="2">
        <v>0</v>
      </c>
      <c r="H70" s="2">
        <v>0</v>
      </c>
      <c r="I70" s="2">
        <v>0</v>
      </c>
      <c r="J70" s="2">
        <v>0</v>
      </c>
      <c r="K70" s="2">
        <v>0</v>
      </c>
      <c r="L70" s="2">
        <v>0</v>
      </c>
      <c r="M70" s="2">
        <f>SUM(UnitsTable[[#This Row],[Physicians Assistant]:[Peer Recovery Specialist]])</f>
        <v>0</v>
      </c>
    </row>
    <row r="71" spans="1:13" x14ac:dyDescent="0.25">
      <c r="A71" s="3" t="str">
        <f>INDEX(CodeMinutesTable[Frequently Used],MATCH(UnitsTable[[#This Row],[Billing Code]],CodeMinutesTable[Code],0))</f>
        <v>Yes</v>
      </c>
      <c r="B71" s="3" t="s">
        <v>173</v>
      </c>
      <c r="C71" t="s">
        <v>174</v>
      </c>
      <c r="D71" s="2">
        <v>0</v>
      </c>
      <c r="E71" s="2">
        <v>0</v>
      </c>
      <c r="F71" s="2">
        <v>0</v>
      </c>
      <c r="G71" s="2">
        <v>0</v>
      </c>
      <c r="H71" s="2">
        <v>0</v>
      </c>
      <c r="I71" s="2">
        <v>0</v>
      </c>
      <c r="J71" s="2">
        <v>0</v>
      </c>
      <c r="K71" s="2">
        <v>0</v>
      </c>
      <c r="L71" s="2">
        <v>0</v>
      </c>
      <c r="M71" s="2">
        <f>SUM(UnitsTable[[#This Row],[Physicians Assistant]:[Peer Recovery Specialist]])</f>
        <v>0</v>
      </c>
    </row>
    <row r="72" spans="1:13" x14ac:dyDescent="0.25">
      <c r="A72" s="3" t="str">
        <f>INDEX(CodeMinutesTable[Frequently Used],MATCH(UnitsTable[[#This Row],[Billing Code]],CodeMinutesTable[Code],0))</f>
        <v>Yes</v>
      </c>
      <c r="B72" s="3" t="s">
        <v>175</v>
      </c>
      <c r="C72" t="s">
        <v>176</v>
      </c>
      <c r="D72" s="2">
        <v>0</v>
      </c>
      <c r="E72" s="2">
        <v>0</v>
      </c>
      <c r="F72" s="2">
        <v>0</v>
      </c>
      <c r="G72" s="2">
        <v>0</v>
      </c>
      <c r="H72" s="2">
        <v>0</v>
      </c>
      <c r="I72" s="2">
        <v>0</v>
      </c>
      <c r="J72" s="2">
        <v>0</v>
      </c>
      <c r="K72" s="2">
        <v>0</v>
      </c>
      <c r="L72" s="2">
        <v>0</v>
      </c>
      <c r="M72" s="2">
        <f>SUM(UnitsTable[[#This Row],[Physicians Assistant]:[Peer Recovery Specialist]])</f>
        <v>0</v>
      </c>
    </row>
    <row r="73" spans="1:13" hidden="1" x14ac:dyDescent="0.25">
      <c r="A73" s="3" t="str">
        <f>INDEX(CodeMinutesTable[Frequently Used],MATCH(UnitsTable[[#This Row],[Billing Code]],CodeMinutesTable[Code],0))</f>
        <v>No</v>
      </c>
      <c r="B73" s="3" t="s">
        <v>177</v>
      </c>
      <c r="C73" t="s">
        <v>178</v>
      </c>
      <c r="D73" s="2">
        <v>0</v>
      </c>
      <c r="E73" s="2">
        <v>0</v>
      </c>
      <c r="F73" s="2">
        <v>0</v>
      </c>
      <c r="G73" s="2">
        <v>0</v>
      </c>
      <c r="H73" s="2">
        <v>0</v>
      </c>
      <c r="I73" s="2">
        <v>0</v>
      </c>
      <c r="J73" s="2">
        <v>0</v>
      </c>
      <c r="K73" s="2">
        <v>0</v>
      </c>
      <c r="L73" s="2">
        <v>0</v>
      </c>
      <c r="M73" s="2">
        <f>SUM(UnitsTable[[#This Row],[Physicians Assistant]:[Peer Recovery Specialist]])</f>
        <v>0</v>
      </c>
    </row>
    <row r="74" spans="1:13" x14ac:dyDescent="0.25">
      <c r="A74" s="3" t="str">
        <f>INDEX(CodeMinutesTable[Frequently Used],MATCH(UnitsTable[[#This Row],[Billing Code]],CodeMinutesTable[Code],0))</f>
        <v>Yes</v>
      </c>
      <c r="B74" s="3" t="s">
        <v>179</v>
      </c>
      <c r="C74" t="s">
        <v>180</v>
      </c>
      <c r="D74" s="2">
        <v>0</v>
      </c>
      <c r="E74" s="2">
        <v>0</v>
      </c>
      <c r="F74" s="2">
        <v>0</v>
      </c>
      <c r="G74" s="2">
        <v>0</v>
      </c>
      <c r="H74" s="2">
        <v>0</v>
      </c>
      <c r="I74" s="2">
        <v>0</v>
      </c>
      <c r="J74" s="2">
        <v>0</v>
      </c>
      <c r="K74" s="2">
        <v>0</v>
      </c>
      <c r="L74" s="2">
        <v>0</v>
      </c>
      <c r="M74" s="2">
        <f>SUM(UnitsTable[[#This Row],[Physicians Assistant]:[Peer Recovery Specialist]])</f>
        <v>0</v>
      </c>
    </row>
    <row r="75" spans="1:13" x14ac:dyDescent="0.25">
      <c r="A75" s="3" t="str">
        <f>INDEX(CodeMinutesTable[Frequently Used],MATCH(UnitsTable[[#This Row],[Billing Code]],CodeMinutesTable[Code],0))</f>
        <v>Yes</v>
      </c>
      <c r="B75" s="3" t="s">
        <v>181</v>
      </c>
      <c r="C75" t="s">
        <v>182</v>
      </c>
      <c r="D75" s="2">
        <v>0</v>
      </c>
      <c r="E75" s="2">
        <v>0</v>
      </c>
      <c r="F75" s="2">
        <v>0</v>
      </c>
      <c r="G75" s="2">
        <v>0</v>
      </c>
      <c r="H75" s="2">
        <v>0</v>
      </c>
      <c r="I75" s="2">
        <v>0</v>
      </c>
      <c r="J75" s="2">
        <v>0</v>
      </c>
      <c r="K75" s="2">
        <v>0</v>
      </c>
      <c r="L75" s="2">
        <v>0</v>
      </c>
      <c r="M75" s="2">
        <f>SUM(UnitsTable[[#This Row],[Physicians Assistant]:[Peer Recovery Specialist]])</f>
        <v>0</v>
      </c>
    </row>
    <row r="76" spans="1:13" hidden="1" x14ac:dyDescent="0.25">
      <c r="A76" s="3" t="str">
        <f>INDEX(CodeMinutesTable[Frequently Used],MATCH(UnitsTable[[#This Row],[Billing Code]],CodeMinutesTable[Code],0))</f>
        <v>No</v>
      </c>
      <c r="B76" s="3" t="s">
        <v>183</v>
      </c>
      <c r="C76" t="s">
        <v>184</v>
      </c>
      <c r="D76" s="2">
        <v>0</v>
      </c>
      <c r="E76" s="2">
        <v>0</v>
      </c>
      <c r="F76" s="2">
        <v>0</v>
      </c>
      <c r="G76" s="2">
        <v>0</v>
      </c>
      <c r="H76" s="2">
        <v>0</v>
      </c>
      <c r="I76" s="2">
        <v>0</v>
      </c>
      <c r="J76" s="2">
        <v>0</v>
      </c>
      <c r="K76" s="2">
        <v>0</v>
      </c>
      <c r="L76" s="2">
        <v>0</v>
      </c>
      <c r="M76" s="2">
        <f>SUM(UnitsTable[[#This Row],[Physicians Assistant]:[Peer Recovery Specialist]])</f>
        <v>0</v>
      </c>
    </row>
    <row r="77" spans="1:13" x14ac:dyDescent="0.25">
      <c r="A77" s="3" t="str">
        <f>INDEX(CodeMinutesTable[Frequently Used],MATCH(UnitsTable[[#This Row],[Billing Code]],CodeMinutesTable[Code],0))</f>
        <v>Yes</v>
      </c>
      <c r="B77" s="3" t="s">
        <v>185</v>
      </c>
      <c r="C77" t="s">
        <v>186</v>
      </c>
      <c r="D77" s="2">
        <v>0</v>
      </c>
      <c r="E77" s="2">
        <v>0</v>
      </c>
      <c r="F77" s="2">
        <v>0</v>
      </c>
      <c r="G77" s="2">
        <v>0</v>
      </c>
      <c r="H77" s="2">
        <v>0</v>
      </c>
      <c r="I77" s="2">
        <v>0</v>
      </c>
      <c r="J77" s="2">
        <v>0</v>
      </c>
      <c r="K77" s="2">
        <v>0</v>
      </c>
      <c r="L77" s="2">
        <v>0</v>
      </c>
      <c r="M77" s="2">
        <f>SUM(UnitsTable[[#This Row],[Physicians Assistant]:[Peer Recovery Specialist]])</f>
        <v>0</v>
      </c>
    </row>
    <row r="78" spans="1:13" x14ac:dyDescent="0.25">
      <c r="A78" s="3" t="str">
        <f>INDEX(CodeMinutesTable[Frequently Used],MATCH(UnitsTable[[#This Row],[Billing Code]],CodeMinutesTable[Code],0))</f>
        <v>Yes</v>
      </c>
      <c r="B78" s="3" t="s">
        <v>187</v>
      </c>
      <c r="C78" t="s">
        <v>188</v>
      </c>
      <c r="D78" s="2">
        <v>0</v>
      </c>
      <c r="E78" s="2">
        <v>0</v>
      </c>
      <c r="F78" s="2">
        <v>0</v>
      </c>
      <c r="G78" s="2">
        <v>0</v>
      </c>
      <c r="H78" s="2">
        <v>0</v>
      </c>
      <c r="I78" s="2">
        <v>0</v>
      </c>
      <c r="J78" s="2">
        <v>0</v>
      </c>
      <c r="K78" s="2">
        <v>0</v>
      </c>
      <c r="L78" s="2">
        <v>0</v>
      </c>
      <c r="M78" s="2">
        <f>SUM(UnitsTable[[#This Row],[Physicians Assistant]:[Peer Recovery Specialist]])</f>
        <v>0</v>
      </c>
    </row>
    <row r="79" spans="1:13" x14ac:dyDescent="0.25">
      <c r="A79" s="3" t="str">
        <f>INDEX(CodeMinutesTable[Frequently Used],MATCH(UnitsTable[[#This Row],[Billing Code]],CodeMinutesTable[Code],0))</f>
        <v>Yes</v>
      </c>
      <c r="B79" s="3" t="s">
        <v>189</v>
      </c>
      <c r="C79" t="s">
        <v>190</v>
      </c>
      <c r="D79" s="2">
        <v>0</v>
      </c>
      <c r="E79" s="2">
        <v>0</v>
      </c>
      <c r="F79" s="2">
        <v>0</v>
      </c>
      <c r="G79" s="2">
        <v>0</v>
      </c>
      <c r="H79" s="2">
        <v>0</v>
      </c>
      <c r="I79" s="2">
        <v>0</v>
      </c>
      <c r="J79" s="2">
        <v>0</v>
      </c>
      <c r="K79" s="2">
        <v>0</v>
      </c>
      <c r="L79" s="2">
        <v>0</v>
      </c>
      <c r="M79" s="2">
        <f>SUM(UnitsTable[[#This Row],[Physicians Assistant]:[Peer Recovery Specialist]])</f>
        <v>0</v>
      </c>
    </row>
    <row r="80" spans="1:13" x14ac:dyDescent="0.25">
      <c r="A80" s="3" t="str">
        <f>INDEX(CodeMinutesTable[Frequently Used],MATCH(UnitsTable[[#This Row],[Billing Code]],CodeMinutesTable[Code],0))</f>
        <v>Yes</v>
      </c>
      <c r="B80" s="3" t="s">
        <v>191</v>
      </c>
      <c r="C80" t="s">
        <v>192</v>
      </c>
      <c r="D80" s="2">
        <v>0</v>
      </c>
      <c r="E80" s="2">
        <v>0</v>
      </c>
      <c r="F80" s="2">
        <v>0</v>
      </c>
      <c r="G80" s="2">
        <v>0</v>
      </c>
      <c r="H80" s="2">
        <v>0</v>
      </c>
      <c r="I80" s="2">
        <v>0</v>
      </c>
      <c r="J80" s="2">
        <v>0</v>
      </c>
      <c r="K80" s="2">
        <v>0</v>
      </c>
      <c r="L80" s="2">
        <v>0</v>
      </c>
      <c r="M80" s="2">
        <f>SUM(UnitsTable[[#This Row],[Physicians Assistant]:[Peer Recovery Specialist]])</f>
        <v>0</v>
      </c>
    </row>
    <row r="81" spans="1:13" x14ac:dyDescent="0.25">
      <c r="A81" s="3" t="str">
        <f>INDEX(CodeMinutesTable[Frequently Used],MATCH(UnitsTable[[#This Row],[Billing Code]],CodeMinutesTable[Code],0))</f>
        <v>Yes</v>
      </c>
      <c r="B81" s="3" t="s">
        <v>193</v>
      </c>
      <c r="C81" t="s">
        <v>194</v>
      </c>
      <c r="D81" s="2">
        <v>0</v>
      </c>
      <c r="E81" s="2">
        <v>0</v>
      </c>
      <c r="F81" s="2">
        <v>0</v>
      </c>
      <c r="G81" s="2">
        <v>0</v>
      </c>
      <c r="H81" s="2">
        <v>0</v>
      </c>
      <c r="I81" s="2">
        <v>0</v>
      </c>
      <c r="J81" s="2">
        <v>0</v>
      </c>
      <c r="K81" s="2">
        <v>0</v>
      </c>
      <c r="L81" s="2">
        <v>0</v>
      </c>
      <c r="M81" s="2">
        <f>SUM(UnitsTable[[#This Row],[Physicians Assistant]:[Peer Recovery Specialist]])</f>
        <v>0</v>
      </c>
    </row>
    <row r="82" spans="1:13" x14ac:dyDescent="0.25">
      <c r="A82" s="3" t="str">
        <f>INDEX(CodeMinutesTable[Frequently Used],MATCH(UnitsTable[[#This Row],[Billing Code]],CodeMinutesTable[Code],0))</f>
        <v>Yes</v>
      </c>
      <c r="B82" s="3" t="s">
        <v>195</v>
      </c>
      <c r="C82" t="s">
        <v>196</v>
      </c>
      <c r="D82" s="2">
        <v>0</v>
      </c>
      <c r="E82" s="2">
        <v>0</v>
      </c>
      <c r="F82" s="2">
        <v>0</v>
      </c>
      <c r="G82" s="2">
        <v>0</v>
      </c>
      <c r="H82" s="2">
        <v>0</v>
      </c>
      <c r="I82" s="2">
        <v>0</v>
      </c>
      <c r="J82" s="2">
        <v>0</v>
      </c>
      <c r="K82" s="2">
        <v>0</v>
      </c>
      <c r="L82" s="2">
        <v>0</v>
      </c>
      <c r="M82" s="2">
        <f>SUM(UnitsTable[[#This Row],[Physicians Assistant]:[Peer Recovery Specialist]])</f>
        <v>0</v>
      </c>
    </row>
    <row r="83" spans="1:13" x14ac:dyDescent="0.25">
      <c r="A83" s="3" t="str">
        <f>INDEX(CodeMinutesTable[Frequently Used],MATCH(UnitsTable[[#This Row],[Billing Code]],CodeMinutesTable[Code],0))</f>
        <v>Yes</v>
      </c>
      <c r="B83" s="3" t="s">
        <v>197</v>
      </c>
      <c r="C83" t="s">
        <v>198</v>
      </c>
      <c r="D83" s="2">
        <v>0</v>
      </c>
      <c r="E83" s="2">
        <v>0</v>
      </c>
      <c r="F83" s="2">
        <v>0</v>
      </c>
      <c r="G83" s="2">
        <v>0</v>
      </c>
      <c r="H83" s="2">
        <v>0</v>
      </c>
      <c r="I83" s="2">
        <v>0</v>
      </c>
      <c r="J83" s="2">
        <v>0</v>
      </c>
      <c r="K83" s="2">
        <v>0</v>
      </c>
      <c r="L83" s="2">
        <v>0</v>
      </c>
      <c r="M83" s="2">
        <f>SUM(UnitsTable[[#This Row],[Physicians Assistant]:[Peer Recovery Specialist]])</f>
        <v>0</v>
      </c>
    </row>
    <row r="84" spans="1:13" x14ac:dyDescent="0.25">
      <c r="A84" s="3" t="str">
        <f>INDEX(CodeMinutesTable[Frequently Used],MATCH(UnitsTable[[#This Row],[Billing Code]],CodeMinutesTable[Code],0))</f>
        <v>Yes</v>
      </c>
      <c r="B84" s="3" t="s">
        <v>199</v>
      </c>
      <c r="C84" t="s">
        <v>200</v>
      </c>
      <c r="D84" s="2">
        <v>0</v>
      </c>
      <c r="E84" s="2">
        <v>0</v>
      </c>
      <c r="F84" s="2">
        <v>0</v>
      </c>
      <c r="G84" s="2">
        <v>0</v>
      </c>
      <c r="H84" s="2">
        <v>0</v>
      </c>
      <c r="I84" s="2">
        <v>0</v>
      </c>
      <c r="J84" s="2">
        <v>0</v>
      </c>
      <c r="K84" s="2">
        <v>0</v>
      </c>
      <c r="L84" s="2">
        <v>0</v>
      </c>
      <c r="M84" s="2">
        <f>SUM(UnitsTable[[#This Row],[Physicians Assistant]:[Peer Recovery Specialist]])</f>
        <v>0</v>
      </c>
    </row>
    <row r="85" spans="1:13" x14ac:dyDescent="0.25">
      <c r="A85" s="3" t="str">
        <f>INDEX(CodeMinutesTable[Frequently Used],MATCH(UnitsTable[[#This Row],[Billing Code]],CodeMinutesTable[Code],0))</f>
        <v>Yes</v>
      </c>
      <c r="B85" s="3" t="s">
        <v>201</v>
      </c>
      <c r="C85" t="s">
        <v>202</v>
      </c>
      <c r="D85" s="2">
        <v>0</v>
      </c>
      <c r="E85" s="2">
        <v>0</v>
      </c>
      <c r="F85" s="2">
        <v>0</v>
      </c>
      <c r="G85" s="2">
        <v>0</v>
      </c>
      <c r="H85" s="2">
        <v>0</v>
      </c>
      <c r="I85" s="2">
        <v>0</v>
      </c>
      <c r="J85" s="2">
        <v>0</v>
      </c>
      <c r="K85" s="2">
        <v>0</v>
      </c>
      <c r="L85" s="2">
        <v>0</v>
      </c>
      <c r="M85" s="2">
        <f>SUM(UnitsTable[[#This Row],[Physicians Assistant]:[Peer Recovery Specialist]])</f>
        <v>0</v>
      </c>
    </row>
    <row r="86" spans="1:13" x14ac:dyDescent="0.25">
      <c r="A86" s="3" t="str">
        <f>INDEX(CodeMinutesTable[Frequently Used],MATCH(UnitsTable[[#This Row],[Billing Code]],CodeMinutesTable[Code],0))</f>
        <v>Yes</v>
      </c>
      <c r="B86" s="3" t="s">
        <v>203</v>
      </c>
      <c r="C86" t="s">
        <v>204</v>
      </c>
      <c r="D86" s="2">
        <v>0</v>
      </c>
      <c r="E86" s="2">
        <v>0</v>
      </c>
      <c r="F86" s="2">
        <v>0</v>
      </c>
      <c r="G86" s="2">
        <v>0</v>
      </c>
      <c r="H86" s="2">
        <v>0</v>
      </c>
      <c r="I86" s="2">
        <v>0</v>
      </c>
      <c r="J86" s="2">
        <v>0</v>
      </c>
      <c r="K86" s="2">
        <v>0</v>
      </c>
      <c r="L86" s="2">
        <v>0</v>
      </c>
      <c r="M86" s="2">
        <f>SUM(UnitsTable[[#This Row],[Physicians Assistant]:[Peer Recovery Specialist]])</f>
        <v>0</v>
      </c>
    </row>
    <row r="87" spans="1:13" x14ac:dyDescent="0.25">
      <c r="A87" s="3" t="str">
        <f>INDEX(CodeMinutesTable[Frequently Used],MATCH(UnitsTable[[#This Row],[Billing Code]],CodeMinutesTable[Code],0))</f>
        <v>Yes</v>
      </c>
      <c r="B87" s="3" t="s">
        <v>205</v>
      </c>
      <c r="C87" t="s">
        <v>206</v>
      </c>
      <c r="D87" s="2">
        <v>0</v>
      </c>
      <c r="E87" s="2">
        <v>0</v>
      </c>
      <c r="F87" s="2">
        <v>0</v>
      </c>
      <c r="G87" s="2">
        <v>0</v>
      </c>
      <c r="H87" s="2">
        <v>0</v>
      </c>
      <c r="I87" s="2">
        <v>0</v>
      </c>
      <c r="J87" s="2">
        <v>0</v>
      </c>
      <c r="K87" s="2">
        <v>0</v>
      </c>
      <c r="L87" s="2">
        <v>0</v>
      </c>
      <c r="M87" s="2">
        <f>SUM(UnitsTable[[#This Row],[Physicians Assistant]:[Peer Recovery Specialist]])</f>
        <v>0</v>
      </c>
    </row>
    <row r="88" spans="1:13" x14ac:dyDescent="0.25">
      <c r="A88" s="3" t="str">
        <f>INDEX(CodeMinutesTable[Frequently Used],MATCH(UnitsTable[[#This Row],[Billing Code]],CodeMinutesTable[Code],0))</f>
        <v>Yes</v>
      </c>
      <c r="B88" s="3" t="s">
        <v>207</v>
      </c>
      <c r="C88" t="s">
        <v>208</v>
      </c>
      <c r="D88" s="2">
        <v>0</v>
      </c>
      <c r="E88" s="2">
        <v>0</v>
      </c>
      <c r="F88" s="2">
        <v>0</v>
      </c>
      <c r="G88" s="2">
        <v>0</v>
      </c>
      <c r="H88" s="2">
        <v>0</v>
      </c>
      <c r="I88" s="2">
        <v>0</v>
      </c>
      <c r="J88" s="2">
        <v>0</v>
      </c>
      <c r="K88" s="2">
        <v>0</v>
      </c>
      <c r="L88" s="2">
        <v>0</v>
      </c>
      <c r="M88" s="2">
        <f>SUM(UnitsTable[[#This Row],[Physicians Assistant]:[Peer Recovery Specialist]])</f>
        <v>0</v>
      </c>
    </row>
    <row r="89" spans="1:13" x14ac:dyDescent="0.25">
      <c r="A89" s="3" t="str">
        <f>INDEX(CodeMinutesTable[Frequently Used],MATCH(UnitsTable[[#This Row],[Billing Code]],CodeMinutesTable[Code],0))</f>
        <v>Yes</v>
      </c>
      <c r="B89" s="3" t="s">
        <v>209</v>
      </c>
      <c r="C89" t="s">
        <v>210</v>
      </c>
      <c r="D89" s="2">
        <v>0</v>
      </c>
      <c r="E89" s="2">
        <v>0</v>
      </c>
      <c r="F89" s="2">
        <v>0</v>
      </c>
      <c r="G89" s="2">
        <v>0</v>
      </c>
      <c r="H89" s="2">
        <v>0</v>
      </c>
      <c r="I89" s="2">
        <v>0</v>
      </c>
      <c r="J89" s="2">
        <v>0</v>
      </c>
      <c r="K89" s="2">
        <v>0</v>
      </c>
      <c r="L89" s="2">
        <v>0</v>
      </c>
      <c r="M89" s="2">
        <f>SUM(UnitsTable[[#This Row],[Physicians Assistant]:[Peer Recovery Specialist]])</f>
        <v>0</v>
      </c>
    </row>
    <row r="90" spans="1:13" x14ac:dyDescent="0.25">
      <c r="A90" s="3" t="str">
        <f>INDEX(CodeMinutesTable[Frequently Used],MATCH(UnitsTable[[#This Row],[Billing Code]],CodeMinutesTable[Code],0))</f>
        <v>Yes</v>
      </c>
      <c r="B90" s="3" t="s">
        <v>211</v>
      </c>
      <c r="C90" t="s">
        <v>212</v>
      </c>
      <c r="D90" s="2">
        <v>0</v>
      </c>
      <c r="E90" s="2">
        <v>0</v>
      </c>
      <c r="F90" s="2">
        <v>0</v>
      </c>
      <c r="G90" s="2">
        <v>0</v>
      </c>
      <c r="H90" s="2">
        <v>0</v>
      </c>
      <c r="I90" s="2">
        <v>0</v>
      </c>
      <c r="J90" s="2">
        <v>0</v>
      </c>
      <c r="K90" s="2">
        <v>0</v>
      </c>
      <c r="L90" s="2">
        <v>0</v>
      </c>
      <c r="M90" s="2">
        <f>SUM(UnitsTable[[#This Row],[Physicians Assistant]:[Peer Recovery Specialist]])</f>
        <v>0</v>
      </c>
    </row>
    <row r="91" spans="1:13" x14ac:dyDescent="0.25">
      <c r="A91" s="3" t="str">
        <f>INDEX(CodeMinutesTable[Frequently Used],MATCH(UnitsTable[[#This Row],[Billing Code]],CodeMinutesTable[Code],0))</f>
        <v>Yes</v>
      </c>
      <c r="B91" s="3" t="s">
        <v>213</v>
      </c>
      <c r="C91" t="s">
        <v>214</v>
      </c>
      <c r="D91" s="2">
        <v>0</v>
      </c>
      <c r="E91" s="2">
        <v>0</v>
      </c>
      <c r="F91" s="2">
        <v>0</v>
      </c>
      <c r="G91" s="2">
        <v>0</v>
      </c>
      <c r="H91" s="2">
        <v>0</v>
      </c>
      <c r="I91" s="2">
        <v>0</v>
      </c>
      <c r="J91" s="2">
        <v>0</v>
      </c>
      <c r="K91" s="2">
        <v>0</v>
      </c>
      <c r="L91" s="2">
        <v>0</v>
      </c>
      <c r="M91" s="2">
        <f>SUM(UnitsTable[[#This Row],[Physicians Assistant]:[Peer Recovery Specialist]])</f>
        <v>0</v>
      </c>
    </row>
    <row r="92" spans="1:13" x14ac:dyDescent="0.25">
      <c r="A92" s="3" t="str">
        <f>INDEX(CodeMinutesTable[Frequently Used],MATCH(UnitsTable[[#This Row],[Billing Code]],CodeMinutesTable[Code],0))</f>
        <v>Yes</v>
      </c>
      <c r="B92" s="3" t="s">
        <v>215</v>
      </c>
      <c r="C92" t="s">
        <v>216</v>
      </c>
      <c r="D92" s="2">
        <v>0</v>
      </c>
      <c r="E92" s="2">
        <v>0</v>
      </c>
      <c r="F92" s="2">
        <v>0</v>
      </c>
      <c r="G92" s="2">
        <v>0</v>
      </c>
      <c r="H92" s="2">
        <v>0</v>
      </c>
      <c r="I92" s="2">
        <v>0</v>
      </c>
      <c r="J92" s="2">
        <v>0</v>
      </c>
      <c r="K92" s="2">
        <v>0</v>
      </c>
      <c r="L92" s="2">
        <v>0</v>
      </c>
      <c r="M92" s="2">
        <f>SUM(UnitsTable[[#This Row],[Physicians Assistant]:[Peer Recovery Specialist]])</f>
        <v>0</v>
      </c>
    </row>
    <row r="93" spans="1:13" x14ac:dyDescent="0.25">
      <c r="A93" s="3" t="str">
        <f>INDEX(CodeMinutesTable[Frequently Used],MATCH(UnitsTable[[#This Row],[Billing Code]],CodeMinutesTable[Code],0))</f>
        <v>Yes</v>
      </c>
      <c r="B93" s="3" t="s">
        <v>217</v>
      </c>
      <c r="C93" t="s">
        <v>218</v>
      </c>
      <c r="D93" s="2">
        <v>0</v>
      </c>
      <c r="E93" s="2">
        <v>0</v>
      </c>
      <c r="F93" s="2">
        <v>0</v>
      </c>
      <c r="G93" s="2">
        <v>0</v>
      </c>
      <c r="H93" s="2">
        <v>0</v>
      </c>
      <c r="I93" s="2">
        <v>0</v>
      </c>
      <c r="J93" s="2">
        <v>0</v>
      </c>
      <c r="K93" s="2">
        <v>0</v>
      </c>
      <c r="L93" s="2">
        <v>0</v>
      </c>
      <c r="M93" s="2">
        <f>SUM(UnitsTable[[#This Row],[Physicians Assistant]:[Peer Recovery Specialist]])</f>
        <v>0</v>
      </c>
    </row>
    <row r="94" spans="1:13" x14ac:dyDescent="0.25">
      <c r="A94" s="3" t="str">
        <f>INDEX(CodeMinutesTable[Frequently Used],MATCH(UnitsTable[[#This Row],[Billing Code]],CodeMinutesTable[Code],0))</f>
        <v>Yes</v>
      </c>
      <c r="B94" s="3" t="s">
        <v>219</v>
      </c>
      <c r="C94" t="s">
        <v>220</v>
      </c>
      <c r="D94" s="2">
        <v>0</v>
      </c>
      <c r="E94" s="2">
        <v>0</v>
      </c>
      <c r="F94" s="2">
        <v>0</v>
      </c>
      <c r="G94" s="2">
        <v>0</v>
      </c>
      <c r="H94" s="2">
        <v>0</v>
      </c>
      <c r="I94" s="2">
        <v>0</v>
      </c>
      <c r="J94" s="2">
        <v>0</v>
      </c>
      <c r="K94" s="2">
        <v>0</v>
      </c>
      <c r="L94" s="2">
        <v>0</v>
      </c>
      <c r="M94" s="2">
        <f>SUM(UnitsTable[[#This Row],[Physicians Assistant]:[Peer Recovery Specialist]])</f>
        <v>0</v>
      </c>
    </row>
    <row r="95" spans="1:13" x14ac:dyDescent="0.25">
      <c r="A95" s="3" t="str">
        <f>INDEX(CodeMinutesTable[Frequently Used],MATCH(UnitsTable[[#This Row],[Billing Code]],CodeMinutesTable[Code],0))</f>
        <v>Yes</v>
      </c>
      <c r="B95" s="3" t="s">
        <v>221</v>
      </c>
      <c r="C95" t="s">
        <v>222</v>
      </c>
      <c r="D95" s="2">
        <v>0</v>
      </c>
      <c r="E95" s="2">
        <v>0</v>
      </c>
      <c r="F95" s="2">
        <v>0</v>
      </c>
      <c r="G95" s="2">
        <v>0</v>
      </c>
      <c r="H95" s="2">
        <v>0</v>
      </c>
      <c r="I95" s="2">
        <v>0</v>
      </c>
      <c r="J95" s="2">
        <v>0</v>
      </c>
      <c r="K95" s="2">
        <v>0</v>
      </c>
      <c r="L95" s="2">
        <v>0</v>
      </c>
      <c r="M95" s="2">
        <f>SUM(UnitsTable[[#This Row],[Physicians Assistant]:[Peer Recovery Specialist]])</f>
        <v>0</v>
      </c>
    </row>
    <row r="96" spans="1:13" x14ac:dyDescent="0.25">
      <c r="A96" s="3" t="str">
        <f>INDEX(CodeMinutesTable[Frequently Used],MATCH(UnitsTable[[#This Row],[Billing Code]],CodeMinutesTable[Code],0))</f>
        <v>Yes</v>
      </c>
      <c r="B96" s="3" t="s">
        <v>223</v>
      </c>
      <c r="C96" t="s">
        <v>224</v>
      </c>
      <c r="D96" s="2">
        <v>0</v>
      </c>
      <c r="E96" s="2">
        <v>0</v>
      </c>
      <c r="F96" s="2">
        <v>0</v>
      </c>
      <c r="G96" s="2">
        <v>0</v>
      </c>
      <c r="H96" s="2">
        <v>0</v>
      </c>
      <c r="I96" s="2">
        <v>0</v>
      </c>
      <c r="J96" s="2">
        <v>0</v>
      </c>
      <c r="K96" s="2">
        <v>0</v>
      </c>
      <c r="L96" s="2">
        <v>0</v>
      </c>
      <c r="M96" s="2">
        <f>SUM(UnitsTable[[#This Row],[Physicians Assistant]:[Peer Recovery Specialist]])</f>
        <v>0</v>
      </c>
    </row>
    <row r="97" spans="1:13" x14ac:dyDescent="0.25">
      <c r="A97" s="3" t="str">
        <f>INDEX(CodeMinutesTable[Frequently Used],MATCH(UnitsTable[[#This Row],[Billing Code]],CodeMinutesTable[Code],0))</f>
        <v>Yes</v>
      </c>
      <c r="B97" s="3" t="s">
        <v>225</v>
      </c>
      <c r="C97" t="s">
        <v>226</v>
      </c>
      <c r="D97" s="2">
        <v>0</v>
      </c>
      <c r="E97" s="2">
        <v>0</v>
      </c>
      <c r="F97" s="2">
        <v>0</v>
      </c>
      <c r="G97" s="2">
        <v>0</v>
      </c>
      <c r="H97" s="2">
        <v>0</v>
      </c>
      <c r="I97" s="2">
        <v>0</v>
      </c>
      <c r="J97" s="2">
        <v>0</v>
      </c>
      <c r="K97" s="2">
        <v>0</v>
      </c>
      <c r="L97" s="2">
        <v>0</v>
      </c>
      <c r="M97" s="2">
        <f>SUM(UnitsTable[[#This Row],[Physicians Assistant]:[Peer Recovery Specialist]])</f>
        <v>0</v>
      </c>
    </row>
    <row r="98" spans="1:13" x14ac:dyDescent="0.25">
      <c r="A98" s="3" t="str">
        <f>INDEX(CodeMinutesTable[Frequently Used],MATCH(UnitsTable[[#This Row],[Billing Code]],CodeMinutesTable[Code],0))</f>
        <v>Yes</v>
      </c>
      <c r="B98" s="3" t="s">
        <v>227</v>
      </c>
      <c r="C98" t="s">
        <v>228</v>
      </c>
      <c r="D98" s="2">
        <v>0</v>
      </c>
      <c r="E98" s="2">
        <v>0</v>
      </c>
      <c r="F98" s="2">
        <v>0</v>
      </c>
      <c r="G98" s="2">
        <v>0</v>
      </c>
      <c r="H98" s="2">
        <v>0</v>
      </c>
      <c r="I98" s="2">
        <v>0</v>
      </c>
      <c r="J98" s="2">
        <v>0</v>
      </c>
      <c r="K98" s="2">
        <v>0</v>
      </c>
      <c r="L98" s="2">
        <v>0</v>
      </c>
      <c r="M98" s="2">
        <f>SUM(UnitsTable[[#This Row],[Physicians Assistant]:[Peer Recovery Specialist]])</f>
        <v>0</v>
      </c>
    </row>
    <row r="99" spans="1:13" x14ac:dyDescent="0.25">
      <c r="A99" s="3" t="str">
        <f>INDEX(CodeMinutesTable[Frequently Used],MATCH(UnitsTable[[#This Row],[Billing Code]],CodeMinutesTable[Code],0))</f>
        <v>Yes</v>
      </c>
      <c r="B99" s="3" t="s">
        <v>229</v>
      </c>
      <c r="C99" t="s">
        <v>230</v>
      </c>
      <c r="D99" s="2">
        <v>0</v>
      </c>
      <c r="E99" s="2">
        <v>0</v>
      </c>
      <c r="F99" s="2">
        <v>0</v>
      </c>
      <c r="G99" s="2">
        <v>0</v>
      </c>
      <c r="H99" s="2">
        <v>0</v>
      </c>
      <c r="I99" s="2">
        <v>0</v>
      </c>
      <c r="J99" s="2">
        <v>0</v>
      </c>
      <c r="K99" s="2">
        <v>0</v>
      </c>
      <c r="L99" s="2">
        <v>0</v>
      </c>
      <c r="M99" s="2">
        <f>SUM(UnitsTable[[#This Row],[Physicians Assistant]:[Peer Recovery Specialist]])</f>
        <v>0</v>
      </c>
    </row>
    <row r="100" spans="1:13" x14ac:dyDescent="0.25">
      <c r="A100" s="3"/>
      <c r="B100" s="3" t="s">
        <v>34</v>
      </c>
      <c r="D100" s="2">
        <f>SUBTOTAL(109,UnitsTable[Physicians Assistant])</f>
        <v>0</v>
      </c>
      <c r="E100" s="2">
        <f>SUBTOTAL(109,UnitsTable[Nurse Practitioner])</f>
        <v>0</v>
      </c>
      <c r="F100" s="2">
        <f>SUBTOTAL(109,UnitsTable[RN])</f>
        <v>0</v>
      </c>
      <c r="G100" s="2">
        <f>SUBTOTAL(109,UnitsTable[Pharmacist])</f>
        <v>0</v>
      </c>
      <c r="H100" s="2">
        <f>SUBTOTAL(109,UnitsTable[MD (typically in SUD system of care)])</f>
        <v>0</v>
      </c>
      <c r="I100" s="2">
        <f>SUBTOTAL(109,UnitsTable[Psychologist/Pre-licensed Psychologist])</f>
        <v>0</v>
      </c>
      <c r="J100" s="2">
        <f>SUBTOTAL(109,UnitsTable[LPHA (MFT  LCSW  LPCC)/ Intern or Waivered LPHA (MFT  LCSW  LPCC)])</f>
        <v>0</v>
      </c>
      <c r="K100" s="2">
        <f>SUBTOTAL(109,UnitsTable[Alcohol and Drug Counselor])</f>
        <v>0</v>
      </c>
      <c r="L100" s="2">
        <f>SUBTOTAL(109,UnitsTable[Peer Recovery Specialist])</f>
        <v>0</v>
      </c>
      <c r="M100" s="2">
        <f>SUBTOTAL(109,UnitsTable[Total])</f>
        <v>0</v>
      </c>
    </row>
  </sheetData>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72BFD-5920-4F58-9C1E-F133B1FBDAC2}">
  <dimension ref="A1:M100"/>
  <sheetViews>
    <sheetView workbookViewId="0">
      <pane xSplit="3" ySplit="1" topLeftCell="D2" activePane="bottomRight" state="frozen"/>
      <selection pane="topRight" activeCell="C1" sqref="C1"/>
      <selection pane="bottomLeft" activeCell="A2" sqref="A2"/>
      <selection pane="bottomRight" sqref="A1:XFD1"/>
    </sheetView>
  </sheetViews>
  <sheetFormatPr defaultColWidth="9.140625" defaultRowHeight="15" x14ac:dyDescent="0.25"/>
  <cols>
    <col min="1" max="2" width="10.7109375" customWidth="1"/>
    <col min="3" max="3" width="60.7109375" customWidth="1"/>
    <col min="4" max="14" width="25.7109375" customWidth="1"/>
  </cols>
  <sheetData>
    <row r="1" spans="1:13" s="1" customFormat="1" ht="45" customHeight="1" x14ac:dyDescent="0.25">
      <c r="A1" s="1" t="s">
        <v>23</v>
      </c>
      <c r="B1" s="1" t="s">
        <v>24</v>
      </c>
      <c r="C1" s="1" t="s">
        <v>25</v>
      </c>
      <c r="D1" s="1" t="s">
        <v>26</v>
      </c>
      <c r="E1" s="1" t="s">
        <v>27</v>
      </c>
      <c r="F1" s="1" t="s">
        <v>28</v>
      </c>
      <c r="G1" s="1" t="s">
        <v>29</v>
      </c>
      <c r="H1" s="1" t="s">
        <v>30</v>
      </c>
      <c r="I1" s="1" t="s">
        <v>31</v>
      </c>
      <c r="J1" s="1" t="s">
        <v>266</v>
      </c>
      <c r="K1" s="1" t="s">
        <v>32</v>
      </c>
      <c r="L1" s="1" t="s">
        <v>33</v>
      </c>
      <c r="M1" s="1" t="s">
        <v>34</v>
      </c>
    </row>
    <row r="2" spans="1:13" x14ac:dyDescent="0.25">
      <c r="A2" s="6" t="str">
        <f>INDEX(CodeMinutesTable[Frequently Used],MATCH(RevenueTable[[#This Row],[Billing Code]],CodeMinutesTable[Code],0))</f>
        <v>Yes</v>
      </c>
      <c r="B2" s="3" t="s">
        <v>35</v>
      </c>
      <c r="C2" t="s">
        <v>36</v>
      </c>
      <c r="D2" s="6">
        <f>UnitsTable[[#This Row],[Physicians Assistant]]*CodeRatesTable[[#This Row],[Physicians Assistant]]</f>
        <v>0</v>
      </c>
      <c r="E2" s="6">
        <f>UnitsTable[[#This Row],[Nurse Practitioner]]*CodeRatesTable[[#This Row],[Nurse Practitioner]]</f>
        <v>0</v>
      </c>
      <c r="F2" s="6">
        <f>UnitsTable[[#This Row],[RN]]*CodeRatesTable[[#This Row],[RN]]</f>
        <v>0</v>
      </c>
      <c r="G2" s="6">
        <f>UnitsTable[[#This Row],[Pharmacist]]*CodeRatesTable[[#This Row],[Pharmacist]]</f>
        <v>0</v>
      </c>
      <c r="H2" s="6">
        <f>UnitsTable[[#This Row],[MD (typically in SUD system of care)]]*CodeRatesTable[[#This Row],[MD (typically in SUD system of care)]]</f>
        <v>0</v>
      </c>
      <c r="I2" s="6">
        <f>UnitsTable[[#This Row],[Psychologist/Pre-licensed Psychologist]]*CodeRatesTable[[#This Row],[Psychologist/Pre-licensed Psychologist]]</f>
        <v>0</v>
      </c>
      <c r="J2" s="6">
        <f>UnitsTable[[#This Row],[LPHA (MFT  LCSW  LPCC)/ Intern or Waivered LPHA (MFT  LCSW  LPCC)]]*CodeRatesTable[[#This Row],[LPHA (MFT  LCSW  LPCC)/ Intern or Waivered LPHA (MFT  LCSW  LPCC)]]</f>
        <v>0</v>
      </c>
      <c r="K2" s="6">
        <f>UnitsTable[[#This Row],[Alcohol and Drug Counselor]]*CodeRatesTable[[#This Row],[Alcohol and Drug Counselor]]</f>
        <v>0</v>
      </c>
      <c r="L2" s="6">
        <f>UnitsTable[[#This Row],[Peer Recovery Specialist]]*CodeRatesTable[[#This Row],[Peer Recovery Specialist]]</f>
        <v>0</v>
      </c>
      <c r="M2" s="6">
        <f>SUM(RevenueTable[[#This Row],[Physicians Assistant]:[Peer Recovery Specialist]])</f>
        <v>0</v>
      </c>
    </row>
    <row r="3" spans="1:13" x14ac:dyDescent="0.25">
      <c r="A3" s="6" t="str">
        <f>INDEX(CodeMinutesTable[Frequently Used],MATCH(RevenueTable[[#This Row],[Billing Code]],CodeMinutesTable[Code],0))</f>
        <v>Yes</v>
      </c>
      <c r="B3" s="3" t="s">
        <v>37</v>
      </c>
      <c r="C3" t="s">
        <v>38</v>
      </c>
      <c r="D3" s="6">
        <f>UnitsTable[[#This Row],[Physicians Assistant]]*CodeRatesTable[[#This Row],[Physicians Assistant]]</f>
        <v>0</v>
      </c>
      <c r="E3" s="6">
        <f>UnitsTable[[#This Row],[Nurse Practitioner]]*CodeRatesTable[[#This Row],[Nurse Practitioner]]</f>
        <v>0</v>
      </c>
      <c r="F3" s="6">
        <f>UnitsTable[[#This Row],[RN]]*CodeRatesTable[[#This Row],[RN]]</f>
        <v>0</v>
      </c>
      <c r="G3" s="6">
        <f>UnitsTable[[#This Row],[Pharmacist]]*CodeRatesTable[[#This Row],[Pharmacist]]</f>
        <v>0</v>
      </c>
      <c r="H3" s="6">
        <f>UnitsTable[[#This Row],[MD (typically in SUD system of care)]]*CodeRatesTable[[#This Row],[MD (typically in SUD system of care)]]</f>
        <v>0</v>
      </c>
      <c r="I3" s="6">
        <f>UnitsTable[[#This Row],[Psychologist/Pre-licensed Psychologist]]*CodeRatesTable[[#This Row],[Psychologist/Pre-licensed Psychologist]]</f>
        <v>0</v>
      </c>
      <c r="J3" s="6">
        <f>UnitsTable[[#This Row],[LPHA (MFT  LCSW  LPCC)/ Intern or Waivered LPHA (MFT  LCSW  LPCC)]]*CodeRatesTable[[#This Row],[LPHA (MFT  LCSW  LPCC)/ Intern or Waivered LPHA (MFT  LCSW  LPCC)]]</f>
        <v>0</v>
      </c>
      <c r="K3" s="6">
        <f>UnitsTable[[#This Row],[Alcohol and Drug Counselor]]*CodeRatesTable[[#This Row],[Alcohol and Drug Counselor]]</f>
        <v>0</v>
      </c>
      <c r="L3" s="6">
        <f>UnitsTable[[#This Row],[Peer Recovery Specialist]]*CodeRatesTable[[#This Row],[Peer Recovery Specialist]]</f>
        <v>0</v>
      </c>
      <c r="M3" s="6">
        <f>SUM(RevenueTable[[#This Row],[Physicians Assistant]:[Peer Recovery Specialist]])</f>
        <v>0</v>
      </c>
    </row>
    <row r="4" spans="1:13" x14ac:dyDescent="0.25">
      <c r="A4" s="6" t="str">
        <f>INDEX(CodeMinutesTable[Frequently Used],MATCH(RevenueTable[[#This Row],[Billing Code]],CodeMinutesTable[Code],0))</f>
        <v>Yes</v>
      </c>
      <c r="B4" s="3" t="s">
        <v>39</v>
      </c>
      <c r="C4" t="s">
        <v>40</v>
      </c>
      <c r="D4" s="6">
        <f>UnitsTable[[#This Row],[Physicians Assistant]]*CodeRatesTable[[#This Row],[Physicians Assistant]]</f>
        <v>0</v>
      </c>
      <c r="E4" s="6">
        <f>UnitsTable[[#This Row],[Nurse Practitioner]]*CodeRatesTable[[#This Row],[Nurse Practitioner]]</f>
        <v>0</v>
      </c>
      <c r="F4" s="6">
        <f>UnitsTable[[#This Row],[RN]]*CodeRatesTable[[#This Row],[RN]]</f>
        <v>0</v>
      </c>
      <c r="G4" s="6">
        <f>UnitsTable[[#This Row],[Pharmacist]]*CodeRatesTable[[#This Row],[Pharmacist]]</f>
        <v>0</v>
      </c>
      <c r="H4" s="6">
        <f>UnitsTable[[#This Row],[MD (typically in SUD system of care)]]*CodeRatesTable[[#This Row],[MD (typically in SUD system of care)]]</f>
        <v>0</v>
      </c>
      <c r="I4" s="6">
        <f>UnitsTable[[#This Row],[Psychologist/Pre-licensed Psychologist]]*CodeRatesTable[[#This Row],[Psychologist/Pre-licensed Psychologist]]</f>
        <v>0</v>
      </c>
      <c r="J4" s="6">
        <f>UnitsTable[[#This Row],[LPHA (MFT  LCSW  LPCC)/ Intern or Waivered LPHA (MFT  LCSW  LPCC)]]*CodeRatesTable[[#This Row],[LPHA (MFT  LCSW  LPCC)/ Intern or Waivered LPHA (MFT  LCSW  LPCC)]]</f>
        <v>0</v>
      </c>
      <c r="K4" s="6">
        <f>UnitsTable[[#This Row],[Alcohol and Drug Counselor]]*CodeRatesTable[[#This Row],[Alcohol and Drug Counselor]]</f>
        <v>0</v>
      </c>
      <c r="L4" s="6">
        <f>UnitsTable[[#This Row],[Peer Recovery Specialist]]*CodeRatesTable[[#This Row],[Peer Recovery Specialist]]</f>
        <v>0</v>
      </c>
      <c r="M4" s="6">
        <f>SUM(RevenueTable[[#This Row],[Physicians Assistant]:[Peer Recovery Specialist]])</f>
        <v>0</v>
      </c>
    </row>
    <row r="5" spans="1:13" x14ac:dyDescent="0.25">
      <c r="A5" s="6" t="str">
        <f>INDEX(CodeMinutesTable[Frequently Used],MATCH(RevenueTable[[#This Row],[Billing Code]],CodeMinutesTable[Code],0))</f>
        <v>Yes</v>
      </c>
      <c r="B5" s="3" t="s">
        <v>41</v>
      </c>
      <c r="C5" t="s">
        <v>42</v>
      </c>
      <c r="D5" s="6">
        <f>UnitsTable[[#This Row],[Physicians Assistant]]*CodeRatesTable[[#This Row],[Physicians Assistant]]</f>
        <v>0</v>
      </c>
      <c r="E5" s="6">
        <f>UnitsTable[[#This Row],[Nurse Practitioner]]*CodeRatesTable[[#This Row],[Nurse Practitioner]]</f>
        <v>0</v>
      </c>
      <c r="F5" s="6">
        <f>UnitsTable[[#This Row],[RN]]*CodeRatesTable[[#This Row],[RN]]</f>
        <v>0</v>
      </c>
      <c r="G5" s="6">
        <f>UnitsTable[[#This Row],[Pharmacist]]*CodeRatesTable[[#This Row],[Pharmacist]]</f>
        <v>0</v>
      </c>
      <c r="H5" s="6">
        <f>UnitsTable[[#This Row],[MD (typically in SUD system of care)]]*CodeRatesTable[[#This Row],[MD (typically in SUD system of care)]]</f>
        <v>0</v>
      </c>
      <c r="I5" s="6">
        <f>UnitsTable[[#This Row],[Psychologist/Pre-licensed Psychologist]]*CodeRatesTable[[#This Row],[Psychologist/Pre-licensed Psychologist]]</f>
        <v>0</v>
      </c>
      <c r="J5" s="6">
        <f>UnitsTable[[#This Row],[LPHA (MFT  LCSW  LPCC)/ Intern or Waivered LPHA (MFT  LCSW  LPCC)]]*CodeRatesTable[[#This Row],[LPHA (MFT  LCSW  LPCC)/ Intern or Waivered LPHA (MFT  LCSW  LPCC)]]</f>
        <v>0</v>
      </c>
      <c r="K5" s="6">
        <f>UnitsTable[[#This Row],[Alcohol and Drug Counselor]]*CodeRatesTable[[#This Row],[Alcohol and Drug Counselor]]</f>
        <v>0</v>
      </c>
      <c r="L5" s="6">
        <f>UnitsTable[[#This Row],[Peer Recovery Specialist]]*CodeRatesTable[[#This Row],[Peer Recovery Specialist]]</f>
        <v>0</v>
      </c>
      <c r="M5" s="6">
        <f>SUM(RevenueTable[[#This Row],[Physicians Assistant]:[Peer Recovery Specialist]])</f>
        <v>0</v>
      </c>
    </row>
    <row r="6" spans="1:13" x14ac:dyDescent="0.25">
      <c r="A6" s="6" t="str">
        <f>INDEX(CodeMinutesTable[Frequently Used],MATCH(RevenueTable[[#This Row],[Billing Code]],CodeMinutesTable[Code],0))</f>
        <v>Yes</v>
      </c>
      <c r="B6" s="3" t="s">
        <v>43</v>
      </c>
      <c r="C6" t="s">
        <v>44</v>
      </c>
      <c r="D6" s="6">
        <f>UnitsTable[[#This Row],[Physicians Assistant]]*CodeRatesTable[[#This Row],[Physicians Assistant]]</f>
        <v>0</v>
      </c>
      <c r="E6" s="6">
        <f>UnitsTable[[#This Row],[Nurse Practitioner]]*CodeRatesTable[[#This Row],[Nurse Practitioner]]</f>
        <v>0</v>
      </c>
      <c r="F6" s="6">
        <f>UnitsTable[[#This Row],[RN]]*CodeRatesTable[[#This Row],[RN]]</f>
        <v>0</v>
      </c>
      <c r="G6" s="6">
        <f>UnitsTable[[#This Row],[Pharmacist]]*CodeRatesTable[[#This Row],[Pharmacist]]</f>
        <v>0</v>
      </c>
      <c r="H6" s="6">
        <f>UnitsTable[[#This Row],[MD (typically in SUD system of care)]]*CodeRatesTable[[#This Row],[MD (typically in SUD system of care)]]</f>
        <v>0</v>
      </c>
      <c r="I6" s="6">
        <f>UnitsTable[[#This Row],[Psychologist/Pre-licensed Psychologist]]*CodeRatesTable[[#This Row],[Psychologist/Pre-licensed Psychologist]]</f>
        <v>0</v>
      </c>
      <c r="J6" s="6">
        <f>UnitsTable[[#This Row],[LPHA (MFT  LCSW  LPCC)/ Intern or Waivered LPHA (MFT  LCSW  LPCC)]]*CodeRatesTable[[#This Row],[LPHA (MFT  LCSW  LPCC)/ Intern or Waivered LPHA (MFT  LCSW  LPCC)]]</f>
        <v>0</v>
      </c>
      <c r="K6" s="6">
        <f>UnitsTable[[#This Row],[Alcohol and Drug Counselor]]*CodeRatesTable[[#This Row],[Alcohol and Drug Counselor]]</f>
        <v>0</v>
      </c>
      <c r="L6" s="6">
        <f>UnitsTable[[#This Row],[Peer Recovery Specialist]]*CodeRatesTable[[#This Row],[Peer Recovery Specialist]]</f>
        <v>0</v>
      </c>
      <c r="M6" s="6">
        <f>SUM(RevenueTable[[#This Row],[Physicians Assistant]:[Peer Recovery Specialist]])</f>
        <v>0</v>
      </c>
    </row>
    <row r="7" spans="1:13" x14ac:dyDescent="0.25">
      <c r="A7" s="6" t="str">
        <f>INDEX(CodeMinutesTable[Frequently Used],MATCH(RevenueTable[[#This Row],[Billing Code]],CodeMinutesTable[Code],0))</f>
        <v>Yes</v>
      </c>
      <c r="B7" s="3" t="s">
        <v>45</v>
      </c>
      <c r="C7" t="s">
        <v>46</v>
      </c>
      <c r="D7" s="6">
        <f>UnitsTable[[#This Row],[Physicians Assistant]]*CodeRatesTable[[#This Row],[Physicians Assistant]]</f>
        <v>0</v>
      </c>
      <c r="E7" s="6">
        <f>UnitsTable[[#This Row],[Nurse Practitioner]]*CodeRatesTable[[#This Row],[Nurse Practitioner]]</f>
        <v>0</v>
      </c>
      <c r="F7" s="6">
        <f>UnitsTable[[#This Row],[RN]]*CodeRatesTable[[#This Row],[RN]]</f>
        <v>0</v>
      </c>
      <c r="G7" s="6">
        <f>UnitsTable[[#This Row],[Pharmacist]]*CodeRatesTable[[#This Row],[Pharmacist]]</f>
        <v>0</v>
      </c>
      <c r="H7" s="6">
        <f>UnitsTable[[#This Row],[MD (typically in SUD system of care)]]*CodeRatesTable[[#This Row],[MD (typically in SUD system of care)]]</f>
        <v>0</v>
      </c>
      <c r="I7" s="6">
        <f>UnitsTable[[#This Row],[Psychologist/Pre-licensed Psychologist]]*CodeRatesTable[[#This Row],[Psychologist/Pre-licensed Psychologist]]</f>
        <v>0</v>
      </c>
      <c r="J7" s="6">
        <f>UnitsTable[[#This Row],[LPHA (MFT  LCSW  LPCC)/ Intern or Waivered LPHA (MFT  LCSW  LPCC)]]*CodeRatesTable[[#This Row],[LPHA (MFT  LCSW  LPCC)/ Intern or Waivered LPHA (MFT  LCSW  LPCC)]]</f>
        <v>0</v>
      </c>
      <c r="K7" s="6">
        <f>UnitsTable[[#This Row],[Alcohol and Drug Counselor]]*CodeRatesTable[[#This Row],[Alcohol and Drug Counselor]]</f>
        <v>0</v>
      </c>
      <c r="L7" s="6">
        <f>UnitsTable[[#This Row],[Peer Recovery Specialist]]*CodeRatesTable[[#This Row],[Peer Recovery Specialist]]</f>
        <v>0</v>
      </c>
      <c r="M7" s="6">
        <f>SUM(RevenueTable[[#This Row],[Physicians Assistant]:[Peer Recovery Specialist]])</f>
        <v>0</v>
      </c>
    </row>
    <row r="8" spans="1:13" hidden="1" x14ac:dyDescent="0.25">
      <c r="A8" s="6" t="str">
        <f>INDEX(CodeMinutesTable[Frequently Used],MATCH(RevenueTable[[#This Row],[Billing Code]],CodeMinutesTable[Code],0))</f>
        <v>No</v>
      </c>
      <c r="B8" s="3" t="s">
        <v>47</v>
      </c>
      <c r="C8" t="s">
        <v>48</v>
      </c>
      <c r="D8" s="6">
        <f>UnitsTable[[#This Row],[Physicians Assistant]]*CodeRatesTable[[#This Row],[Physicians Assistant]]</f>
        <v>0</v>
      </c>
      <c r="E8" s="6">
        <f>UnitsTable[[#This Row],[Nurse Practitioner]]*CodeRatesTable[[#This Row],[Nurse Practitioner]]</f>
        <v>0</v>
      </c>
      <c r="F8" s="6">
        <f>UnitsTable[[#This Row],[RN]]*CodeRatesTable[[#This Row],[RN]]</f>
        <v>0</v>
      </c>
      <c r="G8" s="6">
        <f>UnitsTable[[#This Row],[Pharmacist]]*CodeRatesTable[[#This Row],[Pharmacist]]</f>
        <v>0</v>
      </c>
      <c r="H8" s="6">
        <f>UnitsTable[[#This Row],[MD (typically in SUD system of care)]]*CodeRatesTable[[#This Row],[MD (typically in SUD system of care)]]</f>
        <v>0</v>
      </c>
      <c r="I8" s="6">
        <f>UnitsTable[[#This Row],[Psychologist/Pre-licensed Psychologist]]*CodeRatesTable[[#This Row],[Psychologist/Pre-licensed Psychologist]]</f>
        <v>0</v>
      </c>
      <c r="J8" s="6">
        <f>UnitsTable[[#This Row],[LPHA (MFT  LCSW  LPCC)/ Intern or Waivered LPHA (MFT  LCSW  LPCC)]]*CodeRatesTable[[#This Row],[LPHA (MFT  LCSW  LPCC)/ Intern or Waivered LPHA (MFT  LCSW  LPCC)]]</f>
        <v>0</v>
      </c>
      <c r="K8" s="6">
        <f>UnitsTable[[#This Row],[Alcohol and Drug Counselor]]*CodeRatesTable[[#This Row],[Alcohol and Drug Counselor]]</f>
        <v>0</v>
      </c>
      <c r="L8" s="6">
        <f>UnitsTable[[#This Row],[Peer Recovery Specialist]]*CodeRatesTable[[#This Row],[Peer Recovery Specialist]]</f>
        <v>0</v>
      </c>
      <c r="M8" s="6">
        <f>SUM(RevenueTable[[#This Row],[Physicians Assistant]:[Peer Recovery Specialist]])</f>
        <v>0</v>
      </c>
    </row>
    <row r="9" spans="1:13" hidden="1" x14ac:dyDescent="0.25">
      <c r="A9" s="6" t="str">
        <f>INDEX(CodeMinutesTable[Frequently Used],MATCH(RevenueTable[[#This Row],[Billing Code]],CodeMinutesTable[Code],0))</f>
        <v>No</v>
      </c>
      <c r="B9" s="3" t="s">
        <v>49</v>
      </c>
      <c r="C9" t="s">
        <v>50</v>
      </c>
      <c r="D9" s="6">
        <f>UnitsTable[[#This Row],[Physicians Assistant]]*CodeRatesTable[[#This Row],[Physicians Assistant]]</f>
        <v>0</v>
      </c>
      <c r="E9" s="6">
        <f>UnitsTable[[#This Row],[Nurse Practitioner]]*CodeRatesTable[[#This Row],[Nurse Practitioner]]</f>
        <v>0</v>
      </c>
      <c r="F9" s="6">
        <f>UnitsTable[[#This Row],[RN]]*CodeRatesTable[[#This Row],[RN]]</f>
        <v>0</v>
      </c>
      <c r="G9" s="6">
        <f>UnitsTable[[#This Row],[Pharmacist]]*CodeRatesTable[[#This Row],[Pharmacist]]</f>
        <v>0</v>
      </c>
      <c r="H9" s="6">
        <f>UnitsTable[[#This Row],[MD (typically in SUD system of care)]]*CodeRatesTable[[#This Row],[MD (typically in SUD system of care)]]</f>
        <v>0</v>
      </c>
      <c r="I9" s="6">
        <f>UnitsTable[[#This Row],[Psychologist/Pre-licensed Psychologist]]*CodeRatesTable[[#This Row],[Psychologist/Pre-licensed Psychologist]]</f>
        <v>0</v>
      </c>
      <c r="J9" s="6">
        <f>UnitsTable[[#This Row],[LPHA (MFT  LCSW  LPCC)/ Intern or Waivered LPHA (MFT  LCSW  LPCC)]]*CodeRatesTable[[#This Row],[LPHA (MFT  LCSW  LPCC)/ Intern or Waivered LPHA (MFT  LCSW  LPCC)]]</f>
        <v>0</v>
      </c>
      <c r="K9" s="6">
        <f>UnitsTable[[#This Row],[Alcohol and Drug Counselor]]*CodeRatesTable[[#This Row],[Alcohol and Drug Counselor]]</f>
        <v>0</v>
      </c>
      <c r="L9" s="6">
        <f>UnitsTable[[#This Row],[Peer Recovery Specialist]]*CodeRatesTable[[#This Row],[Peer Recovery Specialist]]</f>
        <v>0</v>
      </c>
      <c r="M9" s="6">
        <f>SUM(RevenueTable[[#This Row],[Physicians Assistant]:[Peer Recovery Specialist]])</f>
        <v>0</v>
      </c>
    </row>
    <row r="10" spans="1:13" hidden="1" x14ac:dyDescent="0.25">
      <c r="A10" s="6" t="str">
        <f>INDEX(CodeMinutesTable[Frequently Used],MATCH(RevenueTable[[#This Row],[Billing Code]],CodeMinutesTable[Code],0))</f>
        <v>No</v>
      </c>
      <c r="B10" s="3" t="s">
        <v>51</v>
      </c>
      <c r="C10" t="s">
        <v>52</v>
      </c>
      <c r="D10" s="6">
        <f>UnitsTable[[#This Row],[Physicians Assistant]]*CodeRatesTable[[#This Row],[Physicians Assistant]]</f>
        <v>0</v>
      </c>
      <c r="E10" s="6">
        <f>UnitsTable[[#This Row],[Nurse Practitioner]]*CodeRatesTable[[#This Row],[Nurse Practitioner]]</f>
        <v>0</v>
      </c>
      <c r="F10" s="6">
        <f>UnitsTable[[#This Row],[RN]]*CodeRatesTable[[#This Row],[RN]]</f>
        <v>0</v>
      </c>
      <c r="G10" s="6">
        <f>UnitsTable[[#This Row],[Pharmacist]]*CodeRatesTable[[#This Row],[Pharmacist]]</f>
        <v>0</v>
      </c>
      <c r="H10" s="6">
        <f>UnitsTable[[#This Row],[MD (typically in SUD system of care)]]*CodeRatesTable[[#This Row],[MD (typically in SUD system of care)]]</f>
        <v>0</v>
      </c>
      <c r="I10" s="6">
        <f>UnitsTable[[#This Row],[Psychologist/Pre-licensed Psychologist]]*CodeRatesTable[[#This Row],[Psychologist/Pre-licensed Psychologist]]</f>
        <v>0</v>
      </c>
      <c r="J10" s="6">
        <f>UnitsTable[[#This Row],[LPHA (MFT  LCSW  LPCC)/ Intern or Waivered LPHA (MFT  LCSW  LPCC)]]*CodeRatesTable[[#This Row],[LPHA (MFT  LCSW  LPCC)/ Intern or Waivered LPHA (MFT  LCSW  LPCC)]]</f>
        <v>0</v>
      </c>
      <c r="K10" s="6">
        <f>UnitsTable[[#This Row],[Alcohol and Drug Counselor]]*CodeRatesTable[[#This Row],[Alcohol and Drug Counselor]]</f>
        <v>0</v>
      </c>
      <c r="L10" s="6">
        <f>UnitsTable[[#This Row],[Peer Recovery Specialist]]*CodeRatesTable[[#This Row],[Peer Recovery Specialist]]</f>
        <v>0</v>
      </c>
      <c r="M10" s="6">
        <f>SUM(RevenueTable[[#This Row],[Physicians Assistant]:[Peer Recovery Specialist]])</f>
        <v>0</v>
      </c>
    </row>
    <row r="11" spans="1:13" hidden="1" x14ac:dyDescent="0.25">
      <c r="A11" s="6" t="str">
        <f>INDEX(CodeMinutesTable[Frequently Used],MATCH(RevenueTable[[#This Row],[Billing Code]],CodeMinutesTable[Code],0))</f>
        <v>No</v>
      </c>
      <c r="B11" s="3" t="s">
        <v>53</v>
      </c>
      <c r="C11" t="s">
        <v>54</v>
      </c>
      <c r="D11" s="6">
        <f>UnitsTable[[#This Row],[Physicians Assistant]]*CodeRatesTable[[#This Row],[Physicians Assistant]]</f>
        <v>0</v>
      </c>
      <c r="E11" s="6">
        <f>UnitsTable[[#This Row],[Nurse Practitioner]]*CodeRatesTable[[#This Row],[Nurse Practitioner]]</f>
        <v>0</v>
      </c>
      <c r="F11" s="6">
        <f>UnitsTable[[#This Row],[RN]]*CodeRatesTable[[#This Row],[RN]]</f>
        <v>0</v>
      </c>
      <c r="G11" s="6">
        <f>UnitsTable[[#This Row],[Pharmacist]]*CodeRatesTable[[#This Row],[Pharmacist]]</f>
        <v>0</v>
      </c>
      <c r="H11" s="6">
        <f>UnitsTable[[#This Row],[MD (typically in SUD system of care)]]*CodeRatesTable[[#This Row],[MD (typically in SUD system of care)]]</f>
        <v>0</v>
      </c>
      <c r="I11" s="6">
        <f>UnitsTable[[#This Row],[Psychologist/Pre-licensed Psychologist]]*CodeRatesTable[[#This Row],[Psychologist/Pre-licensed Psychologist]]</f>
        <v>0</v>
      </c>
      <c r="J11" s="6">
        <f>UnitsTable[[#This Row],[LPHA (MFT  LCSW  LPCC)/ Intern or Waivered LPHA (MFT  LCSW  LPCC)]]*CodeRatesTable[[#This Row],[LPHA (MFT  LCSW  LPCC)/ Intern or Waivered LPHA (MFT  LCSW  LPCC)]]</f>
        <v>0</v>
      </c>
      <c r="K11" s="6">
        <f>UnitsTable[[#This Row],[Alcohol and Drug Counselor]]*CodeRatesTable[[#This Row],[Alcohol and Drug Counselor]]</f>
        <v>0</v>
      </c>
      <c r="L11" s="6">
        <f>UnitsTable[[#This Row],[Peer Recovery Specialist]]*CodeRatesTable[[#This Row],[Peer Recovery Specialist]]</f>
        <v>0</v>
      </c>
      <c r="M11" s="6">
        <f>SUM(RevenueTable[[#This Row],[Physicians Assistant]:[Peer Recovery Specialist]])</f>
        <v>0</v>
      </c>
    </row>
    <row r="12" spans="1:13" x14ac:dyDescent="0.25">
      <c r="A12" s="6" t="str">
        <f>INDEX(CodeMinutesTable[Frequently Used],MATCH(RevenueTable[[#This Row],[Billing Code]],CodeMinutesTable[Code],0))</f>
        <v>Yes</v>
      </c>
      <c r="B12" s="3" t="s">
        <v>55</v>
      </c>
      <c r="C12" t="s">
        <v>56</v>
      </c>
      <c r="D12" s="6">
        <f>UnitsTable[[#This Row],[Physicians Assistant]]*CodeRatesTable[[#This Row],[Physicians Assistant]]</f>
        <v>0</v>
      </c>
      <c r="E12" s="6">
        <f>UnitsTable[[#This Row],[Nurse Practitioner]]*CodeRatesTable[[#This Row],[Nurse Practitioner]]</f>
        <v>0</v>
      </c>
      <c r="F12" s="6">
        <f>UnitsTable[[#This Row],[RN]]*CodeRatesTable[[#This Row],[RN]]</f>
        <v>0</v>
      </c>
      <c r="G12" s="6">
        <f>UnitsTable[[#This Row],[Pharmacist]]*CodeRatesTable[[#This Row],[Pharmacist]]</f>
        <v>0</v>
      </c>
      <c r="H12" s="6">
        <f>UnitsTable[[#This Row],[MD (typically in SUD system of care)]]*CodeRatesTable[[#This Row],[MD (typically in SUD system of care)]]</f>
        <v>0</v>
      </c>
      <c r="I12" s="6">
        <f>UnitsTable[[#This Row],[Psychologist/Pre-licensed Psychologist]]*CodeRatesTable[[#This Row],[Psychologist/Pre-licensed Psychologist]]</f>
        <v>0</v>
      </c>
      <c r="J12" s="6">
        <f>UnitsTable[[#This Row],[LPHA (MFT  LCSW  LPCC)/ Intern or Waivered LPHA (MFT  LCSW  LPCC)]]*CodeRatesTable[[#This Row],[LPHA (MFT  LCSW  LPCC)/ Intern or Waivered LPHA (MFT  LCSW  LPCC)]]</f>
        <v>0</v>
      </c>
      <c r="K12" s="6">
        <f>UnitsTable[[#This Row],[Alcohol and Drug Counselor]]*CodeRatesTable[[#This Row],[Alcohol and Drug Counselor]]</f>
        <v>0</v>
      </c>
      <c r="L12" s="6">
        <f>UnitsTable[[#This Row],[Peer Recovery Specialist]]*CodeRatesTable[[#This Row],[Peer Recovery Specialist]]</f>
        <v>0</v>
      </c>
      <c r="M12" s="6">
        <f>SUM(RevenueTable[[#This Row],[Physicians Assistant]:[Peer Recovery Specialist]])</f>
        <v>0</v>
      </c>
    </row>
    <row r="13" spans="1:13" hidden="1" x14ac:dyDescent="0.25">
      <c r="A13" s="6" t="str">
        <f>INDEX(CodeMinutesTable[Frequently Used],MATCH(RevenueTable[[#This Row],[Billing Code]],CodeMinutesTable[Code],0))</f>
        <v>No</v>
      </c>
      <c r="B13" s="3" t="s">
        <v>57</v>
      </c>
      <c r="C13" t="s">
        <v>58</v>
      </c>
      <c r="D13" s="6">
        <f>UnitsTable[[#This Row],[Physicians Assistant]]*CodeRatesTable[[#This Row],[Physicians Assistant]]</f>
        <v>0</v>
      </c>
      <c r="E13" s="6">
        <f>UnitsTable[[#This Row],[Nurse Practitioner]]*CodeRatesTable[[#This Row],[Nurse Practitioner]]</f>
        <v>0</v>
      </c>
      <c r="F13" s="6">
        <f>UnitsTable[[#This Row],[RN]]*CodeRatesTable[[#This Row],[RN]]</f>
        <v>0</v>
      </c>
      <c r="G13" s="6">
        <f>UnitsTable[[#This Row],[Pharmacist]]*CodeRatesTable[[#This Row],[Pharmacist]]</f>
        <v>0</v>
      </c>
      <c r="H13" s="6">
        <f>UnitsTable[[#This Row],[MD (typically in SUD system of care)]]*CodeRatesTable[[#This Row],[MD (typically in SUD system of care)]]</f>
        <v>0</v>
      </c>
      <c r="I13" s="6">
        <f>UnitsTable[[#This Row],[Psychologist/Pre-licensed Psychologist]]*CodeRatesTable[[#This Row],[Psychologist/Pre-licensed Psychologist]]</f>
        <v>0</v>
      </c>
      <c r="J13" s="6">
        <f>UnitsTable[[#This Row],[LPHA (MFT  LCSW  LPCC)/ Intern or Waivered LPHA (MFT  LCSW  LPCC)]]*CodeRatesTable[[#This Row],[LPHA (MFT  LCSW  LPCC)/ Intern or Waivered LPHA (MFT  LCSW  LPCC)]]</f>
        <v>0</v>
      </c>
      <c r="K13" s="6">
        <f>UnitsTable[[#This Row],[Alcohol and Drug Counselor]]*CodeRatesTable[[#This Row],[Alcohol and Drug Counselor]]</f>
        <v>0</v>
      </c>
      <c r="L13" s="6">
        <f>UnitsTable[[#This Row],[Peer Recovery Specialist]]*CodeRatesTable[[#This Row],[Peer Recovery Specialist]]</f>
        <v>0</v>
      </c>
      <c r="M13" s="6">
        <f>SUM(RevenueTable[[#This Row],[Physicians Assistant]:[Peer Recovery Specialist]])</f>
        <v>0</v>
      </c>
    </row>
    <row r="14" spans="1:13" hidden="1" x14ac:dyDescent="0.25">
      <c r="A14" s="6" t="str">
        <f>INDEX(CodeMinutesTable[Frequently Used],MATCH(RevenueTable[[#This Row],[Billing Code]],CodeMinutesTable[Code],0))</f>
        <v>No</v>
      </c>
      <c r="B14" s="3" t="s">
        <v>59</v>
      </c>
      <c r="C14" t="s">
        <v>60</v>
      </c>
      <c r="D14" s="6">
        <f>UnitsTable[[#This Row],[Physicians Assistant]]*CodeRatesTable[[#This Row],[Physicians Assistant]]</f>
        <v>0</v>
      </c>
      <c r="E14" s="6">
        <f>UnitsTable[[#This Row],[Nurse Practitioner]]*CodeRatesTable[[#This Row],[Nurse Practitioner]]</f>
        <v>0</v>
      </c>
      <c r="F14" s="6">
        <f>UnitsTable[[#This Row],[RN]]*CodeRatesTable[[#This Row],[RN]]</f>
        <v>0</v>
      </c>
      <c r="G14" s="6">
        <f>UnitsTable[[#This Row],[Pharmacist]]*CodeRatesTable[[#This Row],[Pharmacist]]</f>
        <v>0</v>
      </c>
      <c r="H14" s="6">
        <f>UnitsTable[[#This Row],[MD (typically in SUD system of care)]]*CodeRatesTable[[#This Row],[MD (typically in SUD system of care)]]</f>
        <v>0</v>
      </c>
      <c r="I14" s="6">
        <f>UnitsTable[[#This Row],[Psychologist/Pre-licensed Psychologist]]*CodeRatesTable[[#This Row],[Psychologist/Pre-licensed Psychologist]]</f>
        <v>0</v>
      </c>
      <c r="J14" s="6">
        <f>UnitsTable[[#This Row],[LPHA (MFT  LCSW  LPCC)/ Intern or Waivered LPHA (MFT  LCSW  LPCC)]]*CodeRatesTable[[#This Row],[LPHA (MFT  LCSW  LPCC)/ Intern or Waivered LPHA (MFT  LCSW  LPCC)]]</f>
        <v>0</v>
      </c>
      <c r="K14" s="6">
        <f>UnitsTable[[#This Row],[Alcohol and Drug Counselor]]*CodeRatesTable[[#This Row],[Alcohol and Drug Counselor]]</f>
        <v>0</v>
      </c>
      <c r="L14" s="6">
        <f>UnitsTable[[#This Row],[Peer Recovery Specialist]]*CodeRatesTable[[#This Row],[Peer Recovery Specialist]]</f>
        <v>0</v>
      </c>
      <c r="M14" s="6">
        <f>SUM(RevenueTable[[#This Row],[Physicians Assistant]:[Peer Recovery Specialist]])</f>
        <v>0</v>
      </c>
    </row>
    <row r="15" spans="1:13" x14ac:dyDescent="0.25">
      <c r="A15" s="6" t="str">
        <f>INDEX(CodeMinutesTable[Frequently Used],MATCH(RevenueTable[[#This Row],[Billing Code]],CodeMinutesTable[Code],0))</f>
        <v>Yes</v>
      </c>
      <c r="B15" s="3" t="s">
        <v>61</v>
      </c>
      <c r="C15" t="s">
        <v>62</v>
      </c>
      <c r="D15" s="6">
        <f>UnitsTable[[#This Row],[Physicians Assistant]]*CodeRatesTable[[#This Row],[Physicians Assistant]]</f>
        <v>0</v>
      </c>
      <c r="E15" s="6">
        <f>UnitsTable[[#This Row],[Nurse Practitioner]]*CodeRatesTable[[#This Row],[Nurse Practitioner]]</f>
        <v>0</v>
      </c>
      <c r="F15" s="6">
        <f>UnitsTable[[#This Row],[RN]]*CodeRatesTable[[#This Row],[RN]]</f>
        <v>0</v>
      </c>
      <c r="G15" s="6">
        <f>UnitsTable[[#This Row],[Pharmacist]]*CodeRatesTable[[#This Row],[Pharmacist]]</f>
        <v>0</v>
      </c>
      <c r="H15" s="6">
        <f>UnitsTable[[#This Row],[MD (typically in SUD system of care)]]*CodeRatesTable[[#This Row],[MD (typically in SUD system of care)]]</f>
        <v>0</v>
      </c>
      <c r="I15" s="6">
        <f>UnitsTable[[#This Row],[Psychologist/Pre-licensed Psychologist]]*CodeRatesTable[[#This Row],[Psychologist/Pre-licensed Psychologist]]</f>
        <v>0</v>
      </c>
      <c r="J15" s="6">
        <f>UnitsTable[[#This Row],[LPHA (MFT  LCSW  LPCC)/ Intern or Waivered LPHA (MFT  LCSW  LPCC)]]*CodeRatesTable[[#This Row],[LPHA (MFT  LCSW  LPCC)/ Intern or Waivered LPHA (MFT  LCSW  LPCC)]]</f>
        <v>0</v>
      </c>
      <c r="K15" s="6">
        <f>UnitsTable[[#This Row],[Alcohol and Drug Counselor]]*CodeRatesTable[[#This Row],[Alcohol and Drug Counselor]]</f>
        <v>0</v>
      </c>
      <c r="L15" s="6">
        <f>UnitsTable[[#This Row],[Peer Recovery Specialist]]*CodeRatesTable[[#This Row],[Peer Recovery Specialist]]</f>
        <v>0</v>
      </c>
      <c r="M15" s="6">
        <f>SUM(RevenueTable[[#This Row],[Physicians Assistant]:[Peer Recovery Specialist]])</f>
        <v>0</v>
      </c>
    </row>
    <row r="16" spans="1:13" x14ac:dyDescent="0.25">
      <c r="A16" s="6" t="str">
        <f>INDEX(CodeMinutesTable[Frequently Used],MATCH(RevenueTable[[#This Row],[Billing Code]],CodeMinutesTable[Code],0))</f>
        <v>Yes</v>
      </c>
      <c r="B16" s="3" t="s">
        <v>63</v>
      </c>
      <c r="C16" t="s">
        <v>64</v>
      </c>
      <c r="D16" s="6">
        <f>UnitsTable[[#This Row],[Physicians Assistant]]*CodeRatesTable[[#This Row],[Physicians Assistant]]</f>
        <v>0</v>
      </c>
      <c r="E16" s="6">
        <f>UnitsTable[[#This Row],[Nurse Practitioner]]*CodeRatesTable[[#This Row],[Nurse Practitioner]]</f>
        <v>0</v>
      </c>
      <c r="F16" s="6">
        <f>UnitsTable[[#This Row],[RN]]*CodeRatesTable[[#This Row],[RN]]</f>
        <v>0</v>
      </c>
      <c r="G16" s="6">
        <f>UnitsTable[[#This Row],[Pharmacist]]*CodeRatesTable[[#This Row],[Pharmacist]]</f>
        <v>0</v>
      </c>
      <c r="H16" s="6">
        <f>UnitsTable[[#This Row],[MD (typically in SUD system of care)]]*CodeRatesTable[[#This Row],[MD (typically in SUD system of care)]]</f>
        <v>0</v>
      </c>
      <c r="I16" s="6">
        <f>UnitsTable[[#This Row],[Psychologist/Pre-licensed Psychologist]]*CodeRatesTable[[#This Row],[Psychologist/Pre-licensed Psychologist]]</f>
        <v>0</v>
      </c>
      <c r="J16" s="6">
        <f>UnitsTable[[#This Row],[LPHA (MFT  LCSW  LPCC)/ Intern or Waivered LPHA (MFT  LCSW  LPCC)]]*CodeRatesTable[[#This Row],[LPHA (MFT  LCSW  LPCC)/ Intern or Waivered LPHA (MFT  LCSW  LPCC)]]</f>
        <v>0</v>
      </c>
      <c r="K16" s="6">
        <f>UnitsTable[[#This Row],[Alcohol and Drug Counselor]]*CodeRatesTable[[#This Row],[Alcohol and Drug Counselor]]</f>
        <v>0</v>
      </c>
      <c r="L16" s="6">
        <f>UnitsTable[[#This Row],[Peer Recovery Specialist]]*CodeRatesTable[[#This Row],[Peer Recovery Specialist]]</f>
        <v>0</v>
      </c>
      <c r="M16" s="6">
        <f>SUM(RevenueTable[[#This Row],[Physicians Assistant]:[Peer Recovery Specialist]])</f>
        <v>0</v>
      </c>
    </row>
    <row r="17" spans="1:13" x14ac:dyDescent="0.25">
      <c r="A17" s="6" t="str">
        <f>INDEX(CodeMinutesTable[Frequently Used],MATCH(RevenueTable[[#This Row],[Billing Code]],CodeMinutesTable[Code],0))</f>
        <v>Yes</v>
      </c>
      <c r="B17" s="3" t="s">
        <v>65</v>
      </c>
      <c r="C17" t="s">
        <v>66</v>
      </c>
      <c r="D17" s="6">
        <f>UnitsTable[[#This Row],[Physicians Assistant]]*CodeRatesTable[[#This Row],[Physicians Assistant]]</f>
        <v>0</v>
      </c>
      <c r="E17" s="6">
        <f>UnitsTable[[#This Row],[Nurse Practitioner]]*CodeRatesTable[[#This Row],[Nurse Practitioner]]</f>
        <v>0</v>
      </c>
      <c r="F17" s="6">
        <f>UnitsTable[[#This Row],[RN]]*CodeRatesTable[[#This Row],[RN]]</f>
        <v>0</v>
      </c>
      <c r="G17" s="6">
        <f>UnitsTable[[#This Row],[Pharmacist]]*CodeRatesTable[[#This Row],[Pharmacist]]</f>
        <v>0</v>
      </c>
      <c r="H17" s="6">
        <f>UnitsTable[[#This Row],[MD (typically in SUD system of care)]]*CodeRatesTable[[#This Row],[MD (typically in SUD system of care)]]</f>
        <v>0</v>
      </c>
      <c r="I17" s="6">
        <f>UnitsTable[[#This Row],[Psychologist/Pre-licensed Psychologist]]*CodeRatesTable[[#This Row],[Psychologist/Pre-licensed Psychologist]]</f>
        <v>0</v>
      </c>
      <c r="J17" s="6">
        <f>UnitsTable[[#This Row],[LPHA (MFT  LCSW  LPCC)/ Intern or Waivered LPHA (MFT  LCSW  LPCC)]]*CodeRatesTable[[#This Row],[LPHA (MFT  LCSW  LPCC)/ Intern or Waivered LPHA (MFT  LCSW  LPCC)]]</f>
        <v>0</v>
      </c>
      <c r="K17" s="6">
        <f>UnitsTable[[#This Row],[Alcohol and Drug Counselor]]*CodeRatesTable[[#This Row],[Alcohol and Drug Counselor]]</f>
        <v>0</v>
      </c>
      <c r="L17" s="6">
        <f>UnitsTable[[#This Row],[Peer Recovery Specialist]]*CodeRatesTable[[#This Row],[Peer Recovery Specialist]]</f>
        <v>0</v>
      </c>
      <c r="M17" s="6">
        <f>SUM(RevenueTable[[#This Row],[Physicians Assistant]:[Peer Recovery Specialist]])</f>
        <v>0</v>
      </c>
    </row>
    <row r="18" spans="1:13" x14ac:dyDescent="0.25">
      <c r="A18" s="6" t="str">
        <f>INDEX(CodeMinutesTable[Frequently Used],MATCH(RevenueTable[[#This Row],[Billing Code]],CodeMinutesTable[Code],0))</f>
        <v>Yes</v>
      </c>
      <c r="B18" s="3" t="s">
        <v>67</v>
      </c>
      <c r="C18" t="s">
        <v>68</v>
      </c>
      <c r="D18" s="6">
        <f>UnitsTable[[#This Row],[Physicians Assistant]]*CodeRatesTable[[#This Row],[Physicians Assistant]]</f>
        <v>0</v>
      </c>
      <c r="E18" s="6">
        <f>UnitsTable[[#This Row],[Nurse Practitioner]]*CodeRatesTable[[#This Row],[Nurse Practitioner]]</f>
        <v>0</v>
      </c>
      <c r="F18" s="6">
        <f>UnitsTable[[#This Row],[RN]]*CodeRatesTable[[#This Row],[RN]]</f>
        <v>0</v>
      </c>
      <c r="G18" s="6">
        <f>UnitsTable[[#This Row],[Pharmacist]]*CodeRatesTable[[#This Row],[Pharmacist]]</f>
        <v>0</v>
      </c>
      <c r="H18" s="6">
        <f>UnitsTable[[#This Row],[MD (typically in SUD system of care)]]*CodeRatesTable[[#This Row],[MD (typically in SUD system of care)]]</f>
        <v>0</v>
      </c>
      <c r="I18" s="6">
        <f>UnitsTable[[#This Row],[Psychologist/Pre-licensed Psychologist]]*CodeRatesTable[[#This Row],[Psychologist/Pre-licensed Psychologist]]</f>
        <v>0</v>
      </c>
      <c r="J18" s="6">
        <f>UnitsTable[[#This Row],[LPHA (MFT  LCSW  LPCC)/ Intern or Waivered LPHA (MFT  LCSW  LPCC)]]*CodeRatesTable[[#This Row],[LPHA (MFT  LCSW  LPCC)/ Intern or Waivered LPHA (MFT  LCSW  LPCC)]]</f>
        <v>0</v>
      </c>
      <c r="K18" s="6">
        <f>UnitsTable[[#This Row],[Alcohol and Drug Counselor]]*CodeRatesTable[[#This Row],[Alcohol and Drug Counselor]]</f>
        <v>0</v>
      </c>
      <c r="L18" s="6">
        <f>UnitsTable[[#This Row],[Peer Recovery Specialist]]*CodeRatesTable[[#This Row],[Peer Recovery Specialist]]</f>
        <v>0</v>
      </c>
      <c r="M18" s="6">
        <f>SUM(RevenueTable[[#This Row],[Physicians Assistant]:[Peer Recovery Specialist]])</f>
        <v>0</v>
      </c>
    </row>
    <row r="19" spans="1:13" x14ac:dyDescent="0.25">
      <c r="A19" s="6" t="str">
        <f>INDEX(CodeMinutesTable[Frequently Used],MATCH(RevenueTable[[#This Row],[Billing Code]],CodeMinutesTable[Code],0))</f>
        <v>Yes</v>
      </c>
      <c r="B19" s="3" t="s">
        <v>69</v>
      </c>
      <c r="C19" t="s">
        <v>70</v>
      </c>
      <c r="D19" s="6">
        <f>UnitsTable[[#This Row],[Physicians Assistant]]*CodeRatesTable[[#This Row],[Physicians Assistant]]</f>
        <v>0</v>
      </c>
      <c r="E19" s="6">
        <f>UnitsTable[[#This Row],[Nurse Practitioner]]*CodeRatesTable[[#This Row],[Nurse Practitioner]]</f>
        <v>0</v>
      </c>
      <c r="F19" s="6">
        <f>UnitsTable[[#This Row],[RN]]*CodeRatesTable[[#This Row],[RN]]</f>
        <v>0</v>
      </c>
      <c r="G19" s="6">
        <f>UnitsTable[[#This Row],[Pharmacist]]*CodeRatesTable[[#This Row],[Pharmacist]]</f>
        <v>0</v>
      </c>
      <c r="H19" s="6">
        <f>UnitsTable[[#This Row],[MD (typically in SUD system of care)]]*CodeRatesTable[[#This Row],[MD (typically in SUD system of care)]]</f>
        <v>0</v>
      </c>
      <c r="I19" s="6">
        <f>UnitsTable[[#This Row],[Psychologist/Pre-licensed Psychologist]]*CodeRatesTable[[#This Row],[Psychologist/Pre-licensed Psychologist]]</f>
        <v>0</v>
      </c>
      <c r="J19" s="6">
        <f>UnitsTable[[#This Row],[LPHA (MFT  LCSW  LPCC)/ Intern or Waivered LPHA (MFT  LCSW  LPCC)]]*CodeRatesTable[[#This Row],[LPHA (MFT  LCSW  LPCC)/ Intern or Waivered LPHA (MFT  LCSW  LPCC)]]</f>
        <v>0</v>
      </c>
      <c r="K19" s="6">
        <f>UnitsTable[[#This Row],[Alcohol and Drug Counselor]]*CodeRatesTable[[#This Row],[Alcohol and Drug Counselor]]</f>
        <v>0</v>
      </c>
      <c r="L19" s="6">
        <f>UnitsTable[[#This Row],[Peer Recovery Specialist]]*CodeRatesTable[[#This Row],[Peer Recovery Specialist]]</f>
        <v>0</v>
      </c>
      <c r="M19" s="6">
        <f>SUM(RevenueTable[[#This Row],[Physicians Assistant]:[Peer Recovery Specialist]])</f>
        <v>0</v>
      </c>
    </row>
    <row r="20" spans="1:13" x14ac:dyDescent="0.25">
      <c r="A20" s="6" t="str">
        <f>INDEX(CodeMinutesTable[Frequently Used],MATCH(RevenueTable[[#This Row],[Billing Code]],CodeMinutesTable[Code],0))</f>
        <v>Yes</v>
      </c>
      <c r="B20" s="3" t="s">
        <v>71</v>
      </c>
      <c r="C20" t="s">
        <v>72</v>
      </c>
      <c r="D20" s="6">
        <f>UnitsTable[[#This Row],[Physicians Assistant]]*CodeRatesTable[[#This Row],[Physicians Assistant]]</f>
        <v>0</v>
      </c>
      <c r="E20" s="6">
        <f>UnitsTable[[#This Row],[Nurse Practitioner]]*CodeRatesTable[[#This Row],[Nurse Practitioner]]</f>
        <v>0</v>
      </c>
      <c r="F20" s="6">
        <f>UnitsTable[[#This Row],[RN]]*CodeRatesTable[[#This Row],[RN]]</f>
        <v>0</v>
      </c>
      <c r="G20" s="6">
        <f>UnitsTable[[#This Row],[Pharmacist]]*CodeRatesTable[[#This Row],[Pharmacist]]</f>
        <v>0</v>
      </c>
      <c r="H20" s="6">
        <f>UnitsTable[[#This Row],[MD (typically in SUD system of care)]]*CodeRatesTable[[#This Row],[MD (typically in SUD system of care)]]</f>
        <v>0</v>
      </c>
      <c r="I20" s="6">
        <f>UnitsTable[[#This Row],[Psychologist/Pre-licensed Psychologist]]*CodeRatesTable[[#This Row],[Psychologist/Pre-licensed Psychologist]]</f>
        <v>0</v>
      </c>
      <c r="J20" s="6">
        <f>UnitsTable[[#This Row],[LPHA (MFT  LCSW  LPCC)/ Intern or Waivered LPHA (MFT  LCSW  LPCC)]]*CodeRatesTable[[#This Row],[LPHA (MFT  LCSW  LPCC)/ Intern or Waivered LPHA (MFT  LCSW  LPCC)]]</f>
        <v>0</v>
      </c>
      <c r="K20" s="6">
        <f>UnitsTable[[#This Row],[Alcohol and Drug Counselor]]*CodeRatesTable[[#This Row],[Alcohol and Drug Counselor]]</f>
        <v>0</v>
      </c>
      <c r="L20" s="6">
        <f>UnitsTable[[#This Row],[Peer Recovery Specialist]]*CodeRatesTable[[#This Row],[Peer Recovery Specialist]]</f>
        <v>0</v>
      </c>
      <c r="M20" s="6">
        <f>SUM(RevenueTable[[#This Row],[Physicians Assistant]:[Peer Recovery Specialist]])</f>
        <v>0</v>
      </c>
    </row>
    <row r="21" spans="1:13" x14ac:dyDescent="0.25">
      <c r="A21" s="6" t="str">
        <f>INDEX(CodeMinutesTable[Frequently Used],MATCH(RevenueTable[[#This Row],[Billing Code]],CodeMinutesTable[Code],0))</f>
        <v>Yes</v>
      </c>
      <c r="B21" s="3" t="s">
        <v>73</v>
      </c>
      <c r="C21" t="s">
        <v>74</v>
      </c>
      <c r="D21" s="6">
        <f>UnitsTable[[#This Row],[Physicians Assistant]]*CodeRatesTable[[#This Row],[Physicians Assistant]]</f>
        <v>0</v>
      </c>
      <c r="E21" s="6">
        <f>UnitsTable[[#This Row],[Nurse Practitioner]]*CodeRatesTable[[#This Row],[Nurse Practitioner]]</f>
        <v>0</v>
      </c>
      <c r="F21" s="6">
        <f>UnitsTable[[#This Row],[RN]]*CodeRatesTable[[#This Row],[RN]]</f>
        <v>0</v>
      </c>
      <c r="G21" s="6">
        <f>UnitsTable[[#This Row],[Pharmacist]]*CodeRatesTable[[#This Row],[Pharmacist]]</f>
        <v>0</v>
      </c>
      <c r="H21" s="6">
        <f>UnitsTable[[#This Row],[MD (typically in SUD system of care)]]*CodeRatesTable[[#This Row],[MD (typically in SUD system of care)]]</f>
        <v>0</v>
      </c>
      <c r="I21" s="6">
        <f>UnitsTable[[#This Row],[Psychologist/Pre-licensed Psychologist]]*CodeRatesTable[[#This Row],[Psychologist/Pre-licensed Psychologist]]</f>
        <v>0</v>
      </c>
      <c r="J21" s="6">
        <f>UnitsTable[[#This Row],[LPHA (MFT  LCSW  LPCC)/ Intern or Waivered LPHA (MFT  LCSW  LPCC)]]*CodeRatesTable[[#This Row],[LPHA (MFT  LCSW  LPCC)/ Intern or Waivered LPHA (MFT  LCSW  LPCC)]]</f>
        <v>0</v>
      </c>
      <c r="K21" s="6">
        <f>UnitsTable[[#This Row],[Alcohol and Drug Counselor]]*CodeRatesTable[[#This Row],[Alcohol and Drug Counselor]]</f>
        <v>0</v>
      </c>
      <c r="L21" s="6">
        <f>UnitsTable[[#This Row],[Peer Recovery Specialist]]*CodeRatesTable[[#This Row],[Peer Recovery Specialist]]</f>
        <v>0</v>
      </c>
      <c r="M21" s="6">
        <f>SUM(RevenueTable[[#This Row],[Physicians Assistant]:[Peer Recovery Specialist]])</f>
        <v>0</v>
      </c>
    </row>
    <row r="22" spans="1:13" x14ac:dyDescent="0.25">
      <c r="A22" s="6" t="str">
        <f>INDEX(CodeMinutesTable[Frequently Used],MATCH(RevenueTable[[#This Row],[Billing Code]],CodeMinutesTable[Code],0))</f>
        <v>Yes</v>
      </c>
      <c r="B22" s="3" t="s">
        <v>75</v>
      </c>
      <c r="C22" t="s">
        <v>76</v>
      </c>
      <c r="D22" s="6">
        <f>UnitsTable[[#This Row],[Physicians Assistant]]*CodeRatesTable[[#This Row],[Physicians Assistant]]</f>
        <v>0</v>
      </c>
      <c r="E22" s="6">
        <f>UnitsTable[[#This Row],[Nurse Practitioner]]*CodeRatesTable[[#This Row],[Nurse Practitioner]]</f>
        <v>0</v>
      </c>
      <c r="F22" s="6">
        <f>UnitsTable[[#This Row],[RN]]*CodeRatesTable[[#This Row],[RN]]</f>
        <v>0</v>
      </c>
      <c r="G22" s="6">
        <f>UnitsTable[[#This Row],[Pharmacist]]*CodeRatesTable[[#This Row],[Pharmacist]]</f>
        <v>0</v>
      </c>
      <c r="H22" s="6">
        <f>UnitsTable[[#This Row],[MD (typically in SUD system of care)]]*CodeRatesTable[[#This Row],[MD (typically in SUD system of care)]]</f>
        <v>0</v>
      </c>
      <c r="I22" s="6">
        <f>UnitsTable[[#This Row],[Psychologist/Pre-licensed Psychologist]]*CodeRatesTable[[#This Row],[Psychologist/Pre-licensed Psychologist]]</f>
        <v>0</v>
      </c>
      <c r="J22" s="6">
        <f>UnitsTable[[#This Row],[LPHA (MFT  LCSW  LPCC)/ Intern or Waivered LPHA (MFT  LCSW  LPCC)]]*CodeRatesTable[[#This Row],[LPHA (MFT  LCSW  LPCC)/ Intern or Waivered LPHA (MFT  LCSW  LPCC)]]</f>
        <v>0</v>
      </c>
      <c r="K22" s="6">
        <f>UnitsTable[[#This Row],[Alcohol and Drug Counselor]]*CodeRatesTable[[#This Row],[Alcohol and Drug Counselor]]</f>
        <v>0</v>
      </c>
      <c r="L22" s="6">
        <f>UnitsTable[[#This Row],[Peer Recovery Specialist]]*CodeRatesTable[[#This Row],[Peer Recovery Specialist]]</f>
        <v>0</v>
      </c>
      <c r="M22" s="6">
        <f>SUM(RevenueTable[[#This Row],[Physicians Assistant]:[Peer Recovery Specialist]])</f>
        <v>0</v>
      </c>
    </row>
    <row r="23" spans="1:13" x14ac:dyDescent="0.25">
      <c r="A23" s="6" t="str">
        <f>INDEX(CodeMinutesTable[Frequently Used],MATCH(RevenueTable[[#This Row],[Billing Code]],CodeMinutesTable[Code],0))</f>
        <v>Yes</v>
      </c>
      <c r="B23" s="3" t="s">
        <v>77</v>
      </c>
      <c r="C23" t="s">
        <v>78</v>
      </c>
      <c r="D23" s="6">
        <f>UnitsTable[[#This Row],[Physicians Assistant]]*CodeRatesTable[[#This Row],[Physicians Assistant]]</f>
        <v>0</v>
      </c>
      <c r="E23" s="6">
        <f>UnitsTable[[#This Row],[Nurse Practitioner]]*CodeRatesTable[[#This Row],[Nurse Practitioner]]</f>
        <v>0</v>
      </c>
      <c r="F23" s="6">
        <f>UnitsTable[[#This Row],[RN]]*CodeRatesTable[[#This Row],[RN]]</f>
        <v>0</v>
      </c>
      <c r="G23" s="6">
        <f>UnitsTable[[#This Row],[Pharmacist]]*CodeRatesTable[[#This Row],[Pharmacist]]</f>
        <v>0</v>
      </c>
      <c r="H23" s="6">
        <f>UnitsTable[[#This Row],[MD (typically in SUD system of care)]]*CodeRatesTable[[#This Row],[MD (typically in SUD system of care)]]</f>
        <v>0</v>
      </c>
      <c r="I23" s="6">
        <f>UnitsTable[[#This Row],[Psychologist/Pre-licensed Psychologist]]*CodeRatesTable[[#This Row],[Psychologist/Pre-licensed Psychologist]]</f>
        <v>0</v>
      </c>
      <c r="J23" s="6">
        <f>UnitsTable[[#This Row],[LPHA (MFT  LCSW  LPCC)/ Intern or Waivered LPHA (MFT  LCSW  LPCC)]]*CodeRatesTable[[#This Row],[LPHA (MFT  LCSW  LPCC)/ Intern or Waivered LPHA (MFT  LCSW  LPCC)]]</f>
        <v>0</v>
      </c>
      <c r="K23" s="6">
        <f>UnitsTable[[#This Row],[Alcohol and Drug Counselor]]*CodeRatesTable[[#This Row],[Alcohol and Drug Counselor]]</f>
        <v>0</v>
      </c>
      <c r="L23" s="6">
        <f>UnitsTable[[#This Row],[Peer Recovery Specialist]]*CodeRatesTable[[#This Row],[Peer Recovery Specialist]]</f>
        <v>0</v>
      </c>
      <c r="M23" s="6">
        <f>SUM(RevenueTable[[#This Row],[Physicians Assistant]:[Peer Recovery Specialist]])</f>
        <v>0</v>
      </c>
    </row>
    <row r="24" spans="1:13" x14ac:dyDescent="0.25">
      <c r="A24" s="6" t="str">
        <f>INDEX(CodeMinutesTable[Frequently Used],MATCH(RevenueTable[[#This Row],[Billing Code]],CodeMinutesTable[Code],0))</f>
        <v>Yes</v>
      </c>
      <c r="B24" s="3" t="s">
        <v>79</v>
      </c>
      <c r="C24" t="s">
        <v>80</v>
      </c>
      <c r="D24" s="6">
        <f>UnitsTable[[#This Row],[Physicians Assistant]]*CodeRatesTable[[#This Row],[Physicians Assistant]]</f>
        <v>0</v>
      </c>
      <c r="E24" s="6">
        <f>UnitsTable[[#This Row],[Nurse Practitioner]]*CodeRatesTable[[#This Row],[Nurse Practitioner]]</f>
        <v>0</v>
      </c>
      <c r="F24" s="6">
        <f>UnitsTable[[#This Row],[RN]]*CodeRatesTable[[#This Row],[RN]]</f>
        <v>0</v>
      </c>
      <c r="G24" s="6">
        <f>UnitsTable[[#This Row],[Pharmacist]]*CodeRatesTable[[#This Row],[Pharmacist]]</f>
        <v>0</v>
      </c>
      <c r="H24" s="6">
        <f>UnitsTable[[#This Row],[MD (typically in SUD system of care)]]*CodeRatesTable[[#This Row],[MD (typically in SUD system of care)]]</f>
        <v>0</v>
      </c>
      <c r="I24" s="6">
        <f>UnitsTable[[#This Row],[Psychologist/Pre-licensed Psychologist]]*CodeRatesTable[[#This Row],[Psychologist/Pre-licensed Psychologist]]</f>
        <v>0</v>
      </c>
      <c r="J24" s="6">
        <f>UnitsTable[[#This Row],[LPHA (MFT  LCSW  LPCC)/ Intern or Waivered LPHA (MFT  LCSW  LPCC)]]*CodeRatesTable[[#This Row],[LPHA (MFT  LCSW  LPCC)/ Intern or Waivered LPHA (MFT  LCSW  LPCC)]]</f>
        <v>0</v>
      </c>
      <c r="K24" s="6">
        <f>UnitsTable[[#This Row],[Alcohol and Drug Counselor]]*CodeRatesTable[[#This Row],[Alcohol and Drug Counselor]]</f>
        <v>0</v>
      </c>
      <c r="L24" s="6">
        <f>UnitsTable[[#This Row],[Peer Recovery Specialist]]*CodeRatesTable[[#This Row],[Peer Recovery Specialist]]</f>
        <v>0</v>
      </c>
      <c r="M24" s="6">
        <f>SUM(RevenueTable[[#This Row],[Physicians Assistant]:[Peer Recovery Specialist]])</f>
        <v>0</v>
      </c>
    </row>
    <row r="25" spans="1:13" x14ac:dyDescent="0.25">
      <c r="A25" s="6" t="str">
        <f>INDEX(CodeMinutesTable[Frequently Used],MATCH(RevenueTable[[#This Row],[Billing Code]],CodeMinutesTable[Code],0))</f>
        <v>Yes</v>
      </c>
      <c r="B25" s="3" t="s">
        <v>81</v>
      </c>
      <c r="C25" t="s">
        <v>82</v>
      </c>
      <c r="D25" s="6">
        <f>UnitsTable[[#This Row],[Physicians Assistant]]*CodeRatesTable[[#This Row],[Physicians Assistant]]</f>
        <v>0</v>
      </c>
      <c r="E25" s="6">
        <f>UnitsTable[[#This Row],[Nurse Practitioner]]*CodeRatesTable[[#This Row],[Nurse Practitioner]]</f>
        <v>0</v>
      </c>
      <c r="F25" s="6">
        <f>UnitsTable[[#This Row],[RN]]*CodeRatesTable[[#This Row],[RN]]</f>
        <v>0</v>
      </c>
      <c r="G25" s="6">
        <f>UnitsTable[[#This Row],[Pharmacist]]*CodeRatesTable[[#This Row],[Pharmacist]]</f>
        <v>0</v>
      </c>
      <c r="H25" s="6">
        <f>UnitsTable[[#This Row],[MD (typically in SUD system of care)]]*CodeRatesTable[[#This Row],[MD (typically in SUD system of care)]]</f>
        <v>0</v>
      </c>
      <c r="I25" s="6">
        <f>UnitsTable[[#This Row],[Psychologist/Pre-licensed Psychologist]]*CodeRatesTable[[#This Row],[Psychologist/Pre-licensed Psychologist]]</f>
        <v>0</v>
      </c>
      <c r="J25" s="6">
        <f>UnitsTable[[#This Row],[LPHA (MFT  LCSW  LPCC)/ Intern or Waivered LPHA (MFT  LCSW  LPCC)]]*CodeRatesTable[[#This Row],[LPHA (MFT  LCSW  LPCC)/ Intern or Waivered LPHA (MFT  LCSW  LPCC)]]</f>
        <v>0</v>
      </c>
      <c r="K25" s="6">
        <f>UnitsTable[[#This Row],[Alcohol and Drug Counselor]]*CodeRatesTable[[#This Row],[Alcohol and Drug Counselor]]</f>
        <v>0</v>
      </c>
      <c r="L25" s="6">
        <f>UnitsTable[[#This Row],[Peer Recovery Specialist]]*CodeRatesTable[[#This Row],[Peer Recovery Specialist]]</f>
        <v>0</v>
      </c>
      <c r="M25" s="6">
        <f>SUM(RevenueTable[[#This Row],[Physicians Assistant]:[Peer Recovery Specialist]])</f>
        <v>0</v>
      </c>
    </row>
    <row r="26" spans="1:13" x14ac:dyDescent="0.25">
      <c r="A26" s="6" t="str">
        <f>INDEX(CodeMinutesTable[Frequently Used],MATCH(RevenueTable[[#This Row],[Billing Code]],CodeMinutesTable[Code],0))</f>
        <v>Yes</v>
      </c>
      <c r="B26" s="3" t="s">
        <v>83</v>
      </c>
      <c r="C26" t="s">
        <v>84</v>
      </c>
      <c r="D26" s="6">
        <f>UnitsTable[[#This Row],[Physicians Assistant]]*CodeRatesTable[[#This Row],[Physicians Assistant]]</f>
        <v>0</v>
      </c>
      <c r="E26" s="6">
        <f>UnitsTable[[#This Row],[Nurse Practitioner]]*CodeRatesTable[[#This Row],[Nurse Practitioner]]</f>
        <v>0</v>
      </c>
      <c r="F26" s="6">
        <f>UnitsTable[[#This Row],[RN]]*CodeRatesTable[[#This Row],[RN]]</f>
        <v>0</v>
      </c>
      <c r="G26" s="6">
        <f>UnitsTable[[#This Row],[Pharmacist]]*CodeRatesTable[[#This Row],[Pharmacist]]</f>
        <v>0</v>
      </c>
      <c r="H26" s="6">
        <f>UnitsTable[[#This Row],[MD (typically in SUD system of care)]]*CodeRatesTable[[#This Row],[MD (typically in SUD system of care)]]</f>
        <v>0</v>
      </c>
      <c r="I26" s="6">
        <f>UnitsTable[[#This Row],[Psychologist/Pre-licensed Psychologist]]*CodeRatesTable[[#This Row],[Psychologist/Pre-licensed Psychologist]]</f>
        <v>0</v>
      </c>
      <c r="J26" s="6">
        <f>UnitsTable[[#This Row],[LPHA (MFT  LCSW  LPCC)/ Intern or Waivered LPHA (MFT  LCSW  LPCC)]]*CodeRatesTable[[#This Row],[LPHA (MFT  LCSW  LPCC)/ Intern or Waivered LPHA (MFT  LCSW  LPCC)]]</f>
        <v>0</v>
      </c>
      <c r="K26" s="6">
        <f>UnitsTable[[#This Row],[Alcohol and Drug Counselor]]*CodeRatesTable[[#This Row],[Alcohol and Drug Counselor]]</f>
        <v>0</v>
      </c>
      <c r="L26" s="6">
        <f>UnitsTable[[#This Row],[Peer Recovery Specialist]]*CodeRatesTable[[#This Row],[Peer Recovery Specialist]]</f>
        <v>0</v>
      </c>
      <c r="M26" s="6">
        <f>SUM(RevenueTable[[#This Row],[Physicians Assistant]:[Peer Recovery Specialist]])</f>
        <v>0</v>
      </c>
    </row>
    <row r="27" spans="1:13" x14ac:dyDescent="0.25">
      <c r="A27" s="6" t="str">
        <f>INDEX(CodeMinutesTable[Frequently Used],MATCH(RevenueTable[[#This Row],[Billing Code]],CodeMinutesTable[Code],0))</f>
        <v>Yes</v>
      </c>
      <c r="B27" s="3" t="s">
        <v>85</v>
      </c>
      <c r="C27" t="s">
        <v>86</v>
      </c>
      <c r="D27" s="6">
        <f>UnitsTable[[#This Row],[Physicians Assistant]]*CodeRatesTable[[#This Row],[Physicians Assistant]]</f>
        <v>0</v>
      </c>
      <c r="E27" s="6">
        <f>UnitsTable[[#This Row],[Nurse Practitioner]]*CodeRatesTable[[#This Row],[Nurse Practitioner]]</f>
        <v>0</v>
      </c>
      <c r="F27" s="6">
        <f>UnitsTable[[#This Row],[RN]]*CodeRatesTable[[#This Row],[RN]]</f>
        <v>0</v>
      </c>
      <c r="G27" s="6">
        <f>UnitsTable[[#This Row],[Pharmacist]]*CodeRatesTable[[#This Row],[Pharmacist]]</f>
        <v>0</v>
      </c>
      <c r="H27" s="6">
        <f>UnitsTable[[#This Row],[MD (typically in SUD system of care)]]*CodeRatesTable[[#This Row],[MD (typically in SUD system of care)]]</f>
        <v>0</v>
      </c>
      <c r="I27" s="6">
        <f>UnitsTable[[#This Row],[Psychologist/Pre-licensed Psychologist]]*CodeRatesTable[[#This Row],[Psychologist/Pre-licensed Psychologist]]</f>
        <v>0</v>
      </c>
      <c r="J27" s="6">
        <f>UnitsTable[[#This Row],[LPHA (MFT  LCSW  LPCC)/ Intern or Waivered LPHA (MFT  LCSW  LPCC)]]*CodeRatesTable[[#This Row],[LPHA (MFT  LCSW  LPCC)/ Intern or Waivered LPHA (MFT  LCSW  LPCC)]]</f>
        <v>0</v>
      </c>
      <c r="K27" s="6">
        <f>UnitsTable[[#This Row],[Alcohol and Drug Counselor]]*CodeRatesTable[[#This Row],[Alcohol and Drug Counselor]]</f>
        <v>0</v>
      </c>
      <c r="L27" s="6">
        <f>UnitsTable[[#This Row],[Peer Recovery Specialist]]*CodeRatesTable[[#This Row],[Peer Recovery Specialist]]</f>
        <v>0</v>
      </c>
      <c r="M27" s="6">
        <f>SUM(RevenueTable[[#This Row],[Physicians Assistant]:[Peer Recovery Specialist]])</f>
        <v>0</v>
      </c>
    </row>
    <row r="28" spans="1:13" x14ac:dyDescent="0.25">
      <c r="A28" s="6" t="str">
        <f>INDEX(CodeMinutesTable[Frequently Used],MATCH(RevenueTable[[#This Row],[Billing Code]],CodeMinutesTable[Code],0))</f>
        <v>Yes</v>
      </c>
      <c r="B28" s="3" t="s">
        <v>87</v>
      </c>
      <c r="C28" t="s">
        <v>88</v>
      </c>
      <c r="D28" s="6">
        <f>UnitsTable[[#This Row],[Physicians Assistant]]*CodeRatesTable[[#This Row],[Physicians Assistant]]</f>
        <v>0</v>
      </c>
      <c r="E28" s="6">
        <f>UnitsTable[[#This Row],[Nurse Practitioner]]*CodeRatesTable[[#This Row],[Nurse Practitioner]]</f>
        <v>0</v>
      </c>
      <c r="F28" s="6">
        <f>UnitsTable[[#This Row],[RN]]*CodeRatesTable[[#This Row],[RN]]</f>
        <v>0</v>
      </c>
      <c r="G28" s="6">
        <f>UnitsTable[[#This Row],[Pharmacist]]*CodeRatesTable[[#This Row],[Pharmacist]]</f>
        <v>0</v>
      </c>
      <c r="H28" s="6">
        <f>UnitsTable[[#This Row],[MD (typically in SUD system of care)]]*CodeRatesTable[[#This Row],[MD (typically in SUD system of care)]]</f>
        <v>0</v>
      </c>
      <c r="I28" s="6">
        <f>UnitsTable[[#This Row],[Psychologist/Pre-licensed Psychologist]]*CodeRatesTable[[#This Row],[Psychologist/Pre-licensed Psychologist]]</f>
        <v>0</v>
      </c>
      <c r="J28" s="6">
        <f>UnitsTable[[#This Row],[LPHA (MFT  LCSW  LPCC)/ Intern or Waivered LPHA (MFT  LCSW  LPCC)]]*CodeRatesTable[[#This Row],[LPHA (MFT  LCSW  LPCC)/ Intern or Waivered LPHA (MFT  LCSW  LPCC)]]</f>
        <v>0</v>
      </c>
      <c r="K28" s="6">
        <f>UnitsTable[[#This Row],[Alcohol and Drug Counselor]]*CodeRatesTable[[#This Row],[Alcohol and Drug Counselor]]</f>
        <v>0</v>
      </c>
      <c r="L28" s="6">
        <f>UnitsTable[[#This Row],[Peer Recovery Specialist]]*CodeRatesTable[[#This Row],[Peer Recovery Specialist]]</f>
        <v>0</v>
      </c>
      <c r="M28" s="6">
        <f>SUM(RevenueTable[[#This Row],[Physicians Assistant]:[Peer Recovery Specialist]])</f>
        <v>0</v>
      </c>
    </row>
    <row r="29" spans="1:13" hidden="1" x14ac:dyDescent="0.25">
      <c r="A29" s="6" t="str">
        <f>INDEX(CodeMinutesTable[Frequently Used],MATCH(RevenueTable[[#This Row],[Billing Code]],CodeMinutesTable[Code],0))</f>
        <v>No</v>
      </c>
      <c r="B29" s="3" t="s">
        <v>89</v>
      </c>
      <c r="C29" t="s">
        <v>90</v>
      </c>
      <c r="D29" s="6">
        <f>UnitsTable[[#This Row],[Physicians Assistant]]*CodeRatesTable[[#This Row],[Physicians Assistant]]</f>
        <v>0</v>
      </c>
      <c r="E29" s="6">
        <f>UnitsTable[[#This Row],[Nurse Practitioner]]*CodeRatesTable[[#This Row],[Nurse Practitioner]]</f>
        <v>0</v>
      </c>
      <c r="F29" s="6">
        <f>UnitsTable[[#This Row],[RN]]*CodeRatesTable[[#This Row],[RN]]</f>
        <v>0</v>
      </c>
      <c r="G29" s="6">
        <f>UnitsTable[[#This Row],[Pharmacist]]*CodeRatesTable[[#This Row],[Pharmacist]]</f>
        <v>0</v>
      </c>
      <c r="H29" s="6">
        <f>UnitsTable[[#This Row],[MD (typically in SUD system of care)]]*CodeRatesTable[[#This Row],[MD (typically in SUD system of care)]]</f>
        <v>0</v>
      </c>
      <c r="I29" s="6">
        <f>UnitsTable[[#This Row],[Psychologist/Pre-licensed Psychologist]]*CodeRatesTable[[#This Row],[Psychologist/Pre-licensed Psychologist]]</f>
        <v>0</v>
      </c>
      <c r="J29" s="6">
        <f>UnitsTable[[#This Row],[LPHA (MFT  LCSW  LPCC)/ Intern or Waivered LPHA (MFT  LCSW  LPCC)]]*CodeRatesTable[[#This Row],[LPHA (MFT  LCSW  LPCC)/ Intern or Waivered LPHA (MFT  LCSW  LPCC)]]</f>
        <v>0</v>
      </c>
      <c r="K29" s="6">
        <f>UnitsTable[[#This Row],[Alcohol and Drug Counselor]]*CodeRatesTable[[#This Row],[Alcohol and Drug Counselor]]</f>
        <v>0</v>
      </c>
      <c r="L29" s="6">
        <f>UnitsTable[[#This Row],[Peer Recovery Specialist]]*CodeRatesTable[[#This Row],[Peer Recovery Specialist]]</f>
        <v>0</v>
      </c>
      <c r="M29" s="6">
        <f>SUM(RevenueTable[[#This Row],[Physicians Assistant]:[Peer Recovery Specialist]])</f>
        <v>0</v>
      </c>
    </row>
    <row r="30" spans="1:13" hidden="1" x14ac:dyDescent="0.25">
      <c r="A30" s="6" t="str">
        <f>INDEX(CodeMinutesTable[Frequently Used],MATCH(RevenueTable[[#This Row],[Billing Code]],CodeMinutesTable[Code],0))</f>
        <v>No</v>
      </c>
      <c r="B30" s="3" t="s">
        <v>91</v>
      </c>
      <c r="C30" t="s">
        <v>92</v>
      </c>
      <c r="D30" s="6">
        <f>UnitsTable[[#This Row],[Physicians Assistant]]*CodeRatesTable[[#This Row],[Physicians Assistant]]</f>
        <v>0</v>
      </c>
      <c r="E30" s="6">
        <f>UnitsTable[[#This Row],[Nurse Practitioner]]*CodeRatesTable[[#This Row],[Nurse Practitioner]]</f>
        <v>0</v>
      </c>
      <c r="F30" s="6">
        <f>UnitsTable[[#This Row],[RN]]*CodeRatesTable[[#This Row],[RN]]</f>
        <v>0</v>
      </c>
      <c r="G30" s="6">
        <f>UnitsTable[[#This Row],[Pharmacist]]*CodeRatesTable[[#This Row],[Pharmacist]]</f>
        <v>0</v>
      </c>
      <c r="H30" s="6">
        <f>UnitsTable[[#This Row],[MD (typically in SUD system of care)]]*CodeRatesTable[[#This Row],[MD (typically in SUD system of care)]]</f>
        <v>0</v>
      </c>
      <c r="I30" s="6">
        <f>UnitsTable[[#This Row],[Psychologist/Pre-licensed Psychologist]]*CodeRatesTable[[#This Row],[Psychologist/Pre-licensed Psychologist]]</f>
        <v>0</v>
      </c>
      <c r="J30" s="6">
        <f>UnitsTable[[#This Row],[LPHA (MFT  LCSW  LPCC)/ Intern or Waivered LPHA (MFT  LCSW  LPCC)]]*CodeRatesTable[[#This Row],[LPHA (MFT  LCSW  LPCC)/ Intern or Waivered LPHA (MFT  LCSW  LPCC)]]</f>
        <v>0</v>
      </c>
      <c r="K30" s="6">
        <f>UnitsTable[[#This Row],[Alcohol and Drug Counselor]]*CodeRatesTable[[#This Row],[Alcohol and Drug Counselor]]</f>
        <v>0</v>
      </c>
      <c r="L30" s="6">
        <f>UnitsTable[[#This Row],[Peer Recovery Specialist]]*CodeRatesTable[[#This Row],[Peer Recovery Specialist]]</f>
        <v>0</v>
      </c>
      <c r="M30" s="6">
        <f>SUM(RevenueTable[[#This Row],[Physicians Assistant]:[Peer Recovery Specialist]])</f>
        <v>0</v>
      </c>
    </row>
    <row r="31" spans="1:13" hidden="1" x14ac:dyDescent="0.25">
      <c r="A31" s="6" t="str">
        <f>INDEX(CodeMinutesTable[Frequently Used],MATCH(RevenueTable[[#This Row],[Billing Code]],CodeMinutesTable[Code],0))</f>
        <v>No</v>
      </c>
      <c r="B31" s="3" t="s">
        <v>93</v>
      </c>
      <c r="C31" t="s">
        <v>94</v>
      </c>
      <c r="D31" s="6">
        <f>UnitsTable[[#This Row],[Physicians Assistant]]*CodeRatesTable[[#This Row],[Physicians Assistant]]</f>
        <v>0</v>
      </c>
      <c r="E31" s="6">
        <f>UnitsTable[[#This Row],[Nurse Practitioner]]*CodeRatesTable[[#This Row],[Nurse Practitioner]]</f>
        <v>0</v>
      </c>
      <c r="F31" s="6">
        <f>UnitsTable[[#This Row],[RN]]*CodeRatesTable[[#This Row],[RN]]</f>
        <v>0</v>
      </c>
      <c r="G31" s="6">
        <f>UnitsTable[[#This Row],[Pharmacist]]*CodeRatesTable[[#This Row],[Pharmacist]]</f>
        <v>0</v>
      </c>
      <c r="H31" s="6">
        <f>UnitsTable[[#This Row],[MD (typically in SUD system of care)]]*CodeRatesTable[[#This Row],[MD (typically in SUD system of care)]]</f>
        <v>0</v>
      </c>
      <c r="I31" s="6">
        <f>UnitsTable[[#This Row],[Psychologist/Pre-licensed Psychologist]]*CodeRatesTable[[#This Row],[Psychologist/Pre-licensed Psychologist]]</f>
        <v>0</v>
      </c>
      <c r="J31" s="6">
        <f>UnitsTable[[#This Row],[LPHA (MFT  LCSW  LPCC)/ Intern or Waivered LPHA (MFT  LCSW  LPCC)]]*CodeRatesTable[[#This Row],[LPHA (MFT  LCSW  LPCC)/ Intern or Waivered LPHA (MFT  LCSW  LPCC)]]</f>
        <v>0</v>
      </c>
      <c r="K31" s="6">
        <f>UnitsTable[[#This Row],[Alcohol and Drug Counselor]]*CodeRatesTable[[#This Row],[Alcohol and Drug Counselor]]</f>
        <v>0</v>
      </c>
      <c r="L31" s="6">
        <f>UnitsTable[[#This Row],[Peer Recovery Specialist]]*CodeRatesTable[[#This Row],[Peer Recovery Specialist]]</f>
        <v>0</v>
      </c>
      <c r="M31" s="6">
        <f>SUM(RevenueTable[[#This Row],[Physicians Assistant]:[Peer Recovery Specialist]])</f>
        <v>0</v>
      </c>
    </row>
    <row r="32" spans="1:13" hidden="1" x14ac:dyDescent="0.25">
      <c r="A32" s="6" t="str">
        <f>INDEX(CodeMinutesTable[Frequently Used],MATCH(RevenueTable[[#This Row],[Billing Code]],CodeMinutesTable[Code],0))</f>
        <v>No</v>
      </c>
      <c r="B32" s="3" t="s">
        <v>95</v>
      </c>
      <c r="C32" t="s">
        <v>96</v>
      </c>
      <c r="D32" s="6">
        <f>UnitsTable[[#This Row],[Physicians Assistant]]*CodeRatesTable[[#This Row],[Physicians Assistant]]</f>
        <v>0</v>
      </c>
      <c r="E32" s="6">
        <f>UnitsTable[[#This Row],[Nurse Practitioner]]*CodeRatesTable[[#This Row],[Nurse Practitioner]]</f>
        <v>0</v>
      </c>
      <c r="F32" s="6">
        <f>UnitsTable[[#This Row],[RN]]*CodeRatesTable[[#This Row],[RN]]</f>
        <v>0</v>
      </c>
      <c r="G32" s="6">
        <f>UnitsTable[[#This Row],[Pharmacist]]*CodeRatesTable[[#This Row],[Pharmacist]]</f>
        <v>0</v>
      </c>
      <c r="H32" s="6">
        <f>UnitsTable[[#This Row],[MD (typically in SUD system of care)]]*CodeRatesTable[[#This Row],[MD (typically in SUD system of care)]]</f>
        <v>0</v>
      </c>
      <c r="I32" s="6">
        <f>UnitsTable[[#This Row],[Psychologist/Pre-licensed Psychologist]]*CodeRatesTable[[#This Row],[Psychologist/Pre-licensed Psychologist]]</f>
        <v>0</v>
      </c>
      <c r="J32" s="6">
        <f>UnitsTable[[#This Row],[LPHA (MFT  LCSW  LPCC)/ Intern or Waivered LPHA (MFT  LCSW  LPCC)]]*CodeRatesTable[[#This Row],[LPHA (MFT  LCSW  LPCC)/ Intern or Waivered LPHA (MFT  LCSW  LPCC)]]</f>
        <v>0</v>
      </c>
      <c r="K32" s="6">
        <f>UnitsTable[[#This Row],[Alcohol and Drug Counselor]]*CodeRatesTable[[#This Row],[Alcohol and Drug Counselor]]</f>
        <v>0</v>
      </c>
      <c r="L32" s="6">
        <f>UnitsTable[[#This Row],[Peer Recovery Specialist]]*CodeRatesTable[[#This Row],[Peer Recovery Specialist]]</f>
        <v>0</v>
      </c>
      <c r="M32" s="6">
        <f>SUM(RevenueTable[[#This Row],[Physicians Assistant]:[Peer Recovery Specialist]])</f>
        <v>0</v>
      </c>
    </row>
    <row r="33" spans="1:13" hidden="1" x14ac:dyDescent="0.25">
      <c r="A33" s="6" t="str">
        <f>INDEX(CodeMinutesTable[Frequently Used],MATCH(RevenueTable[[#This Row],[Billing Code]],CodeMinutesTable[Code],0))</f>
        <v>No</v>
      </c>
      <c r="B33" s="3" t="s">
        <v>97</v>
      </c>
      <c r="C33" t="s">
        <v>98</v>
      </c>
      <c r="D33" s="6">
        <f>UnitsTable[[#This Row],[Physicians Assistant]]*CodeRatesTable[[#This Row],[Physicians Assistant]]</f>
        <v>0</v>
      </c>
      <c r="E33" s="6">
        <f>UnitsTable[[#This Row],[Nurse Practitioner]]*CodeRatesTable[[#This Row],[Nurse Practitioner]]</f>
        <v>0</v>
      </c>
      <c r="F33" s="6">
        <f>UnitsTable[[#This Row],[RN]]*CodeRatesTable[[#This Row],[RN]]</f>
        <v>0</v>
      </c>
      <c r="G33" s="6">
        <f>UnitsTable[[#This Row],[Pharmacist]]*CodeRatesTable[[#This Row],[Pharmacist]]</f>
        <v>0</v>
      </c>
      <c r="H33" s="6">
        <f>UnitsTable[[#This Row],[MD (typically in SUD system of care)]]*CodeRatesTable[[#This Row],[MD (typically in SUD system of care)]]</f>
        <v>0</v>
      </c>
      <c r="I33" s="6">
        <f>UnitsTable[[#This Row],[Psychologist/Pre-licensed Psychologist]]*CodeRatesTable[[#This Row],[Psychologist/Pre-licensed Psychologist]]</f>
        <v>0</v>
      </c>
      <c r="J33" s="6">
        <f>UnitsTable[[#This Row],[LPHA (MFT  LCSW  LPCC)/ Intern or Waivered LPHA (MFT  LCSW  LPCC)]]*CodeRatesTable[[#This Row],[LPHA (MFT  LCSW  LPCC)/ Intern or Waivered LPHA (MFT  LCSW  LPCC)]]</f>
        <v>0</v>
      </c>
      <c r="K33" s="6">
        <f>UnitsTable[[#This Row],[Alcohol and Drug Counselor]]*CodeRatesTable[[#This Row],[Alcohol and Drug Counselor]]</f>
        <v>0</v>
      </c>
      <c r="L33" s="6">
        <f>UnitsTable[[#This Row],[Peer Recovery Specialist]]*CodeRatesTable[[#This Row],[Peer Recovery Specialist]]</f>
        <v>0</v>
      </c>
      <c r="M33" s="6">
        <f>SUM(RevenueTable[[#This Row],[Physicians Assistant]:[Peer Recovery Specialist]])</f>
        <v>0</v>
      </c>
    </row>
    <row r="34" spans="1:13" hidden="1" x14ac:dyDescent="0.25">
      <c r="A34" s="6" t="str">
        <f>INDEX(CodeMinutesTable[Frequently Used],MATCH(RevenueTable[[#This Row],[Billing Code]],CodeMinutesTable[Code],0))</f>
        <v>No</v>
      </c>
      <c r="B34" s="3" t="s">
        <v>99</v>
      </c>
      <c r="C34" t="s">
        <v>100</v>
      </c>
      <c r="D34" s="6">
        <f>UnitsTable[[#This Row],[Physicians Assistant]]*CodeRatesTable[[#This Row],[Physicians Assistant]]</f>
        <v>0</v>
      </c>
      <c r="E34" s="6">
        <f>UnitsTable[[#This Row],[Nurse Practitioner]]*CodeRatesTable[[#This Row],[Nurse Practitioner]]</f>
        <v>0</v>
      </c>
      <c r="F34" s="6">
        <f>UnitsTable[[#This Row],[RN]]*CodeRatesTable[[#This Row],[RN]]</f>
        <v>0</v>
      </c>
      <c r="G34" s="6">
        <f>UnitsTable[[#This Row],[Pharmacist]]*CodeRatesTable[[#This Row],[Pharmacist]]</f>
        <v>0</v>
      </c>
      <c r="H34" s="6">
        <f>UnitsTable[[#This Row],[MD (typically in SUD system of care)]]*CodeRatesTable[[#This Row],[MD (typically in SUD system of care)]]</f>
        <v>0</v>
      </c>
      <c r="I34" s="6">
        <f>UnitsTable[[#This Row],[Psychologist/Pre-licensed Psychologist]]*CodeRatesTable[[#This Row],[Psychologist/Pre-licensed Psychologist]]</f>
        <v>0</v>
      </c>
      <c r="J34" s="6">
        <f>UnitsTable[[#This Row],[LPHA (MFT  LCSW  LPCC)/ Intern or Waivered LPHA (MFT  LCSW  LPCC)]]*CodeRatesTable[[#This Row],[LPHA (MFT  LCSW  LPCC)/ Intern or Waivered LPHA (MFT  LCSW  LPCC)]]</f>
        <v>0</v>
      </c>
      <c r="K34" s="6">
        <f>UnitsTable[[#This Row],[Alcohol and Drug Counselor]]*CodeRatesTable[[#This Row],[Alcohol and Drug Counselor]]</f>
        <v>0</v>
      </c>
      <c r="L34" s="6">
        <f>UnitsTable[[#This Row],[Peer Recovery Specialist]]*CodeRatesTable[[#This Row],[Peer Recovery Specialist]]</f>
        <v>0</v>
      </c>
      <c r="M34" s="6">
        <f>SUM(RevenueTable[[#This Row],[Physicians Assistant]:[Peer Recovery Specialist]])</f>
        <v>0</v>
      </c>
    </row>
    <row r="35" spans="1:13" hidden="1" x14ac:dyDescent="0.25">
      <c r="A35" s="6" t="str">
        <f>INDEX(CodeMinutesTable[Frequently Used],MATCH(RevenueTable[[#This Row],[Billing Code]],CodeMinutesTable[Code],0))</f>
        <v>No</v>
      </c>
      <c r="B35" s="3" t="s">
        <v>101</v>
      </c>
      <c r="C35" t="s">
        <v>102</v>
      </c>
      <c r="D35" s="6">
        <f>UnitsTable[[#This Row],[Physicians Assistant]]*CodeRatesTable[[#This Row],[Physicians Assistant]]</f>
        <v>0</v>
      </c>
      <c r="E35" s="6">
        <f>UnitsTable[[#This Row],[Nurse Practitioner]]*CodeRatesTable[[#This Row],[Nurse Practitioner]]</f>
        <v>0</v>
      </c>
      <c r="F35" s="6">
        <f>UnitsTable[[#This Row],[RN]]*CodeRatesTable[[#This Row],[RN]]</f>
        <v>0</v>
      </c>
      <c r="G35" s="6">
        <f>UnitsTable[[#This Row],[Pharmacist]]*CodeRatesTable[[#This Row],[Pharmacist]]</f>
        <v>0</v>
      </c>
      <c r="H35" s="6">
        <f>UnitsTable[[#This Row],[MD (typically in SUD system of care)]]*CodeRatesTable[[#This Row],[MD (typically in SUD system of care)]]</f>
        <v>0</v>
      </c>
      <c r="I35" s="6">
        <f>UnitsTable[[#This Row],[Psychologist/Pre-licensed Psychologist]]*CodeRatesTable[[#This Row],[Psychologist/Pre-licensed Psychologist]]</f>
        <v>0</v>
      </c>
      <c r="J35" s="6">
        <f>UnitsTable[[#This Row],[LPHA (MFT  LCSW  LPCC)/ Intern or Waivered LPHA (MFT  LCSW  LPCC)]]*CodeRatesTable[[#This Row],[LPHA (MFT  LCSW  LPCC)/ Intern or Waivered LPHA (MFT  LCSW  LPCC)]]</f>
        <v>0</v>
      </c>
      <c r="K35" s="6">
        <f>UnitsTable[[#This Row],[Alcohol and Drug Counselor]]*CodeRatesTable[[#This Row],[Alcohol and Drug Counselor]]</f>
        <v>0</v>
      </c>
      <c r="L35" s="6">
        <f>UnitsTable[[#This Row],[Peer Recovery Specialist]]*CodeRatesTable[[#This Row],[Peer Recovery Specialist]]</f>
        <v>0</v>
      </c>
      <c r="M35" s="6">
        <f>SUM(RevenueTable[[#This Row],[Physicians Assistant]:[Peer Recovery Specialist]])</f>
        <v>0</v>
      </c>
    </row>
    <row r="36" spans="1:13" hidden="1" x14ac:dyDescent="0.25">
      <c r="A36" s="6" t="str">
        <f>INDEX(CodeMinutesTable[Frequently Used],MATCH(RevenueTable[[#This Row],[Billing Code]],CodeMinutesTable[Code],0))</f>
        <v>No</v>
      </c>
      <c r="B36" s="3" t="s">
        <v>103</v>
      </c>
      <c r="C36" t="s">
        <v>104</v>
      </c>
      <c r="D36" s="6">
        <f>UnitsTable[[#This Row],[Physicians Assistant]]*CodeRatesTable[[#This Row],[Physicians Assistant]]</f>
        <v>0</v>
      </c>
      <c r="E36" s="6">
        <f>UnitsTable[[#This Row],[Nurse Practitioner]]*CodeRatesTable[[#This Row],[Nurse Practitioner]]</f>
        <v>0</v>
      </c>
      <c r="F36" s="6">
        <f>UnitsTable[[#This Row],[RN]]*CodeRatesTable[[#This Row],[RN]]</f>
        <v>0</v>
      </c>
      <c r="G36" s="6">
        <f>UnitsTable[[#This Row],[Pharmacist]]*CodeRatesTable[[#This Row],[Pharmacist]]</f>
        <v>0</v>
      </c>
      <c r="H36" s="6">
        <f>UnitsTable[[#This Row],[MD (typically in SUD system of care)]]*CodeRatesTable[[#This Row],[MD (typically in SUD system of care)]]</f>
        <v>0</v>
      </c>
      <c r="I36" s="6">
        <f>UnitsTable[[#This Row],[Psychologist/Pre-licensed Psychologist]]*CodeRatesTable[[#This Row],[Psychologist/Pre-licensed Psychologist]]</f>
        <v>0</v>
      </c>
      <c r="J36" s="6">
        <f>UnitsTable[[#This Row],[LPHA (MFT  LCSW  LPCC)/ Intern or Waivered LPHA (MFT  LCSW  LPCC)]]*CodeRatesTable[[#This Row],[LPHA (MFT  LCSW  LPCC)/ Intern or Waivered LPHA (MFT  LCSW  LPCC)]]</f>
        <v>0</v>
      </c>
      <c r="K36" s="6">
        <f>UnitsTable[[#This Row],[Alcohol and Drug Counselor]]*CodeRatesTable[[#This Row],[Alcohol and Drug Counselor]]</f>
        <v>0</v>
      </c>
      <c r="L36" s="6">
        <f>UnitsTable[[#This Row],[Peer Recovery Specialist]]*CodeRatesTable[[#This Row],[Peer Recovery Specialist]]</f>
        <v>0</v>
      </c>
      <c r="M36" s="6">
        <f>SUM(RevenueTable[[#This Row],[Physicians Assistant]:[Peer Recovery Specialist]])</f>
        <v>0</v>
      </c>
    </row>
    <row r="37" spans="1:13" hidden="1" x14ac:dyDescent="0.25">
      <c r="A37" s="6" t="str">
        <f>INDEX(CodeMinutesTable[Frequently Used],MATCH(RevenueTable[[#This Row],[Billing Code]],CodeMinutesTable[Code],0))</f>
        <v>No</v>
      </c>
      <c r="B37" s="3" t="s">
        <v>105</v>
      </c>
      <c r="C37" t="s">
        <v>106</v>
      </c>
      <c r="D37" s="6">
        <f>UnitsTable[[#This Row],[Physicians Assistant]]*CodeRatesTable[[#This Row],[Physicians Assistant]]</f>
        <v>0</v>
      </c>
      <c r="E37" s="6">
        <f>UnitsTable[[#This Row],[Nurse Practitioner]]*CodeRatesTable[[#This Row],[Nurse Practitioner]]</f>
        <v>0</v>
      </c>
      <c r="F37" s="6">
        <f>UnitsTable[[#This Row],[RN]]*CodeRatesTable[[#This Row],[RN]]</f>
        <v>0</v>
      </c>
      <c r="G37" s="6">
        <f>UnitsTable[[#This Row],[Pharmacist]]*CodeRatesTable[[#This Row],[Pharmacist]]</f>
        <v>0</v>
      </c>
      <c r="H37" s="6">
        <f>UnitsTable[[#This Row],[MD (typically in SUD system of care)]]*CodeRatesTable[[#This Row],[MD (typically in SUD system of care)]]</f>
        <v>0</v>
      </c>
      <c r="I37" s="6">
        <f>UnitsTable[[#This Row],[Psychologist/Pre-licensed Psychologist]]*CodeRatesTable[[#This Row],[Psychologist/Pre-licensed Psychologist]]</f>
        <v>0</v>
      </c>
      <c r="J37" s="6">
        <f>UnitsTable[[#This Row],[LPHA (MFT  LCSW  LPCC)/ Intern or Waivered LPHA (MFT  LCSW  LPCC)]]*CodeRatesTable[[#This Row],[LPHA (MFT  LCSW  LPCC)/ Intern or Waivered LPHA (MFT  LCSW  LPCC)]]</f>
        <v>0</v>
      </c>
      <c r="K37" s="6">
        <f>UnitsTable[[#This Row],[Alcohol and Drug Counselor]]*CodeRatesTable[[#This Row],[Alcohol and Drug Counselor]]</f>
        <v>0</v>
      </c>
      <c r="L37" s="6">
        <f>UnitsTable[[#This Row],[Peer Recovery Specialist]]*CodeRatesTable[[#This Row],[Peer Recovery Specialist]]</f>
        <v>0</v>
      </c>
      <c r="M37" s="6">
        <f>SUM(RevenueTable[[#This Row],[Physicians Assistant]:[Peer Recovery Specialist]])</f>
        <v>0</v>
      </c>
    </row>
    <row r="38" spans="1:13" hidden="1" x14ac:dyDescent="0.25">
      <c r="A38" s="6" t="str">
        <f>INDEX(CodeMinutesTable[Frequently Used],MATCH(RevenueTable[[#This Row],[Billing Code]],CodeMinutesTable[Code],0))</f>
        <v>No</v>
      </c>
      <c r="B38" s="3" t="s">
        <v>107</v>
      </c>
      <c r="C38" t="s">
        <v>108</v>
      </c>
      <c r="D38" s="6">
        <f>UnitsTable[[#This Row],[Physicians Assistant]]*CodeRatesTable[[#This Row],[Physicians Assistant]]</f>
        <v>0</v>
      </c>
      <c r="E38" s="6">
        <f>UnitsTable[[#This Row],[Nurse Practitioner]]*CodeRatesTable[[#This Row],[Nurse Practitioner]]</f>
        <v>0</v>
      </c>
      <c r="F38" s="6">
        <f>UnitsTable[[#This Row],[RN]]*CodeRatesTable[[#This Row],[RN]]</f>
        <v>0</v>
      </c>
      <c r="G38" s="6">
        <f>UnitsTable[[#This Row],[Pharmacist]]*CodeRatesTable[[#This Row],[Pharmacist]]</f>
        <v>0</v>
      </c>
      <c r="H38" s="6">
        <f>UnitsTable[[#This Row],[MD (typically in SUD system of care)]]*CodeRatesTable[[#This Row],[MD (typically in SUD system of care)]]</f>
        <v>0</v>
      </c>
      <c r="I38" s="6">
        <f>UnitsTable[[#This Row],[Psychologist/Pre-licensed Psychologist]]*CodeRatesTable[[#This Row],[Psychologist/Pre-licensed Psychologist]]</f>
        <v>0</v>
      </c>
      <c r="J38" s="6">
        <f>UnitsTable[[#This Row],[LPHA (MFT  LCSW  LPCC)/ Intern or Waivered LPHA (MFT  LCSW  LPCC)]]*CodeRatesTable[[#This Row],[LPHA (MFT  LCSW  LPCC)/ Intern or Waivered LPHA (MFT  LCSW  LPCC)]]</f>
        <v>0</v>
      </c>
      <c r="K38" s="6">
        <f>UnitsTable[[#This Row],[Alcohol and Drug Counselor]]*CodeRatesTable[[#This Row],[Alcohol and Drug Counselor]]</f>
        <v>0</v>
      </c>
      <c r="L38" s="6">
        <f>UnitsTable[[#This Row],[Peer Recovery Specialist]]*CodeRatesTable[[#This Row],[Peer Recovery Specialist]]</f>
        <v>0</v>
      </c>
      <c r="M38" s="6">
        <f>SUM(RevenueTable[[#This Row],[Physicians Assistant]:[Peer Recovery Specialist]])</f>
        <v>0</v>
      </c>
    </row>
    <row r="39" spans="1:13" hidden="1" x14ac:dyDescent="0.25">
      <c r="A39" s="6" t="str">
        <f>INDEX(CodeMinutesTable[Frequently Used],MATCH(RevenueTable[[#This Row],[Billing Code]],CodeMinutesTable[Code],0))</f>
        <v>No</v>
      </c>
      <c r="B39" s="3" t="s">
        <v>109</v>
      </c>
      <c r="C39" t="s">
        <v>110</v>
      </c>
      <c r="D39" s="6">
        <f>UnitsTable[[#This Row],[Physicians Assistant]]*CodeRatesTable[[#This Row],[Physicians Assistant]]</f>
        <v>0</v>
      </c>
      <c r="E39" s="6">
        <f>UnitsTable[[#This Row],[Nurse Practitioner]]*CodeRatesTable[[#This Row],[Nurse Practitioner]]</f>
        <v>0</v>
      </c>
      <c r="F39" s="6">
        <f>UnitsTable[[#This Row],[RN]]*CodeRatesTable[[#This Row],[RN]]</f>
        <v>0</v>
      </c>
      <c r="G39" s="6">
        <f>UnitsTable[[#This Row],[Pharmacist]]*CodeRatesTable[[#This Row],[Pharmacist]]</f>
        <v>0</v>
      </c>
      <c r="H39" s="6">
        <f>UnitsTable[[#This Row],[MD (typically in SUD system of care)]]*CodeRatesTable[[#This Row],[MD (typically in SUD system of care)]]</f>
        <v>0</v>
      </c>
      <c r="I39" s="6">
        <f>UnitsTable[[#This Row],[Psychologist/Pre-licensed Psychologist]]*CodeRatesTable[[#This Row],[Psychologist/Pre-licensed Psychologist]]</f>
        <v>0</v>
      </c>
      <c r="J39" s="6">
        <f>UnitsTable[[#This Row],[LPHA (MFT  LCSW  LPCC)/ Intern or Waivered LPHA (MFT  LCSW  LPCC)]]*CodeRatesTable[[#This Row],[LPHA (MFT  LCSW  LPCC)/ Intern or Waivered LPHA (MFT  LCSW  LPCC)]]</f>
        <v>0</v>
      </c>
      <c r="K39" s="6">
        <f>UnitsTable[[#This Row],[Alcohol and Drug Counselor]]*CodeRatesTable[[#This Row],[Alcohol and Drug Counselor]]</f>
        <v>0</v>
      </c>
      <c r="L39" s="6">
        <f>UnitsTable[[#This Row],[Peer Recovery Specialist]]*CodeRatesTable[[#This Row],[Peer Recovery Specialist]]</f>
        <v>0</v>
      </c>
      <c r="M39" s="6">
        <f>SUM(RevenueTable[[#This Row],[Physicians Assistant]:[Peer Recovery Specialist]])</f>
        <v>0</v>
      </c>
    </row>
    <row r="40" spans="1:13" x14ac:dyDescent="0.25">
      <c r="A40" s="6" t="str">
        <f>INDEX(CodeMinutesTable[Frequently Used],MATCH(RevenueTable[[#This Row],[Billing Code]],CodeMinutesTable[Code],0))</f>
        <v>Yes</v>
      </c>
      <c r="B40" s="3" t="s">
        <v>111</v>
      </c>
      <c r="C40" t="s">
        <v>112</v>
      </c>
      <c r="D40" s="6">
        <f>UnitsTable[[#This Row],[Physicians Assistant]]*CodeRatesTable[[#This Row],[Physicians Assistant]]</f>
        <v>0</v>
      </c>
      <c r="E40" s="6">
        <f>UnitsTable[[#This Row],[Nurse Practitioner]]*CodeRatesTable[[#This Row],[Nurse Practitioner]]</f>
        <v>0</v>
      </c>
      <c r="F40" s="6">
        <f>UnitsTable[[#This Row],[RN]]*CodeRatesTable[[#This Row],[RN]]</f>
        <v>0</v>
      </c>
      <c r="G40" s="6">
        <f>UnitsTable[[#This Row],[Pharmacist]]*CodeRatesTable[[#This Row],[Pharmacist]]</f>
        <v>0</v>
      </c>
      <c r="H40" s="6">
        <f>UnitsTable[[#This Row],[MD (typically in SUD system of care)]]*CodeRatesTable[[#This Row],[MD (typically in SUD system of care)]]</f>
        <v>0</v>
      </c>
      <c r="I40" s="6">
        <f>UnitsTable[[#This Row],[Psychologist/Pre-licensed Psychologist]]*CodeRatesTable[[#This Row],[Psychologist/Pre-licensed Psychologist]]</f>
        <v>0</v>
      </c>
      <c r="J40" s="6">
        <f>UnitsTable[[#This Row],[LPHA (MFT  LCSW  LPCC)/ Intern or Waivered LPHA (MFT  LCSW  LPCC)]]*CodeRatesTable[[#This Row],[LPHA (MFT  LCSW  LPCC)/ Intern or Waivered LPHA (MFT  LCSW  LPCC)]]</f>
        <v>0</v>
      </c>
      <c r="K40" s="6">
        <f>UnitsTable[[#This Row],[Alcohol and Drug Counselor]]*CodeRatesTable[[#This Row],[Alcohol and Drug Counselor]]</f>
        <v>0</v>
      </c>
      <c r="L40" s="6">
        <f>UnitsTable[[#This Row],[Peer Recovery Specialist]]*CodeRatesTable[[#This Row],[Peer Recovery Specialist]]</f>
        <v>0</v>
      </c>
      <c r="M40" s="6">
        <f>SUM(RevenueTable[[#This Row],[Physicians Assistant]:[Peer Recovery Specialist]])</f>
        <v>0</v>
      </c>
    </row>
    <row r="41" spans="1:13" x14ac:dyDescent="0.25">
      <c r="A41" s="6" t="str">
        <f>INDEX(CodeMinutesTable[Frequently Used],MATCH(RevenueTable[[#This Row],[Billing Code]],CodeMinutesTable[Code],0))</f>
        <v>Yes</v>
      </c>
      <c r="B41" s="3" t="s">
        <v>113</v>
      </c>
      <c r="C41" t="s">
        <v>114</v>
      </c>
      <c r="D41" s="6">
        <f>UnitsTable[[#This Row],[Physicians Assistant]]*CodeRatesTable[[#This Row],[Physicians Assistant]]</f>
        <v>0</v>
      </c>
      <c r="E41" s="6">
        <f>UnitsTable[[#This Row],[Nurse Practitioner]]*CodeRatesTable[[#This Row],[Nurse Practitioner]]</f>
        <v>0</v>
      </c>
      <c r="F41" s="6">
        <f>UnitsTable[[#This Row],[RN]]*CodeRatesTable[[#This Row],[RN]]</f>
        <v>0</v>
      </c>
      <c r="G41" s="6">
        <f>UnitsTable[[#This Row],[Pharmacist]]*CodeRatesTable[[#This Row],[Pharmacist]]</f>
        <v>0</v>
      </c>
      <c r="H41" s="6">
        <f>UnitsTable[[#This Row],[MD (typically in SUD system of care)]]*CodeRatesTable[[#This Row],[MD (typically in SUD system of care)]]</f>
        <v>0</v>
      </c>
      <c r="I41" s="6">
        <f>UnitsTable[[#This Row],[Psychologist/Pre-licensed Psychologist]]*CodeRatesTable[[#This Row],[Psychologist/Pre-licensed Psychologist]]</f>
        <v>0</v>
      </c>
      <c r="J41" s="6">
        <f>UnitsTable[[#This Row],[LPHA (MFT  LCSW  LPCC)/ Intern or Waivered LPHA (MFT  LCSW  LPCC)]]*CodeRatesTable[[#This Row],[LPHA (MFT  LCSW  LPCC)/ Intern or Waivered LPHA (MFT  LCSW  LPCC)]]</f>
        <v>0</v>
      </c>
      <c r="K41" s="6">
        <f>UnitsTable[[#This Row],[Alcohol and Drug Counselor]]*CodeRatesTable[[#This Row],[Alcohol and Drug Counselor]]</f>
        <v>0</v>
      </c>
      <c r="L41" s="6">
        <f>UnitsTable[[#This Row],[Peer Recovery Specialist]]*CodeRatesTable[[#This Row],[Peer Recovery Specialist]]</f>
        <v>0</v>
      </c>
      <c r="M41" s="6">
        <f>SUM(RevenueTable[[#This Row],[Physicians Assistant]:[Peer Recovery Specialist]])</f>
        <v>0</v>
      </c>
    </row>
    <row r="42" spans="1:13" x14ac:dyDescent="0.25">
      <c r="A42" s="6" t="str">
        <f>INDEX(CodeMinutesTable[Frequently Used],MATCH(RevenueTable[[#This Row],[Billing Code]],CodeMinutesTable[Code],0))</f>
        <v>Yes</v>
      </c>
      <c r="B42" s="3" t="s">
        <v>115</v>
      </c>
      <c r="C42" t="s">
        <v>116</v>
      </c>
      <c r="D42" s="6">
        <f>UnitsTable[[#This Row],[Physicians Assistant]]*CodeRatesTable[[#This Row],[Physicians Assistant]]</f>
        <v>0</v>
      </c>
      <c r="E42" s="6">
        <f>UnitsTable[[#This Row],[Nurse Practitioner]]*CodeRatesTable[[#This Row],[Nurse Practitioner]]</f>
        <v>0</v>
      </c>
      <c r="F42" s="6">
        <f>UnitsTable[[#This Row],[RN]]*CodeRatesTable[[#This Row],[RN]]</f>
        <v>0</v>
      </c>
      <c r="G42" s="6">
        <f>UnitsTable[[#This Row],[Pharmacist]]*CodeRatesTable[[#This Row],[Pharmacist]]</f>
        <v>0</v>
      </c>
      <c r="H42" s="6">
        <f>UnitsTable[[#This Row],[MD (typically in SUD system of care)]]*CodeRatesTable[[#This Row],[MD (typically in SUD system of care)]]</f>
        <v>0</v>
      </c>
      <c r="I42" s="6">
        <f>UnitsTable[[#This Row],[Psychologist/Pre-licensed Psychologist]]*CodeRatesTable[[#This Row],[Psychologist/Pre-licensed Psychologist]]</f>
        <v>0</v>
      </c>
      <c r="J42" s="6">
        <f>UnitsTable[[#This Row],[LPHA (MFT  LCSW  LPCC)/ Intern or Waivered LPHA (MFT  LCSW  LPCC)]]*CodeRatesTable[[#This Row],[LPHA (MFT  LCSW  LPCC)/ Intern or Waivered LPHA (MFT  LCSW  LPCC)]]</f>
        <v>0</v>
      </c>
      <c r="K42" s="6">
        <f>UnitsTable[[#This Row],[Alcohol and Drug Counselor]]*CodeRatesTable[[#This Row],[Alcohol and Drug Counselor]]</f>
        <v>0</v>
      </c>
      <c r="L42" s="6">
        <f>UnitsTable[[#This Row],[Peer Recovery Specialist]]*CodeRatesTable[[#This Row],[Peer Recovery Specialist]]</f>
        <v>0</v>
      </c>
      <c r="M42" s="6">
        <f>SUM(RevenueTable[[#This Row],[Physicians Assistant]:[Peer Recovery Specialist]])</f>
        <v>0</v>
      </c>
    </row>
    <row r="43" spans="1:13" x14ac:dyDescent="0.25">
      <c r="A43" s="6" t="str">
        <f>INDEX(CodeMinutesTable[Frequently Used],MATCH(RevenueTable[[#This Row],[Billing Code]],CodeMinutesTable[Code],0))</f>
        <v>Yes</v>
      </c>
      <c r="B43" s="3" t="s">
        <v>117</v>
      </c>
      <c r="C43" t="s">
        <v>118</v>
      </c>
      <c r="D43" s="6">
        <f>UnitsTable[[#This Row],[Physicians Assistant]]*CodeRatesTable[[#This Row],[Physicians Assistant]]</f>
        <v>0</v>
      </c>
      <c r="E43" s="6">
        <f>UnitsTable[[#This Row],[Nurse Practitioner]]*CodeRatesTable[[#This Row],[Nurse Practitioner]]</f>
        <v>0</v>
      </c>
      <c r="F43" s="6">
        <f>UnitsTable[[#This Row],[RN]]*CodeRatesTable[[#This Row],[RN]]</f>
        <v>0</v>
      </c>
      <c r="G43" s="6">
        <f>UnitsTable[[#This Row],[Pharmacist]]*CodeRatesTable[[#This Row],[Pharmacist]]</f>
        <v>0</v>
      </c>
      <c r="H43" s="6">
        <f>UnitsTable[[#This Row],[MD (typically in SUD system of care)]]*CodeRatesTable[[#This Row],[MD (typically in SUD system of care)]]</f>
        <v>0</v>
      </c>
      <c r="I43" s="6">
        <f>UnitsTable[[#This Row],[Psychologist/Pre-licensed Psychologist]]*CodeRatesTable[[#This Row],[Psychologist/Pre-licensed Psychologist]]</f>
        <v>0</v>
      </c>
      <c r="J43" s="6">
        <f>UnitsTable[[#This Row],[LPHA (MFT  LCSW  LPCC)/ Intern or Waivered LPHA (MFT  LCSW  LPCC)]]*CodeRatesTable[[#This Row],[LPHA (MFT  LCSW  LPCC)/ Intern or Waivered LPHA (MFT  LCSW  LPCC)]]</f>
        <v>0</v>
      </c>
      <c r="K43" s="6">
        <f>UnitsTable[[#This Row],[Alcohol and Drug Counselor]]*CodeRatesTable[[#This Row],[Alcohol and Drug Counselor]]</f>
        <v>0</v>
      </c>
      <c r="L43" s="6">
        <f>UnitsTable[[#This Row],[Peer Recovery Specialist]]*CodeRatesTable[[#This Row],[Peer Recovery Specialist]]</f>
        <v>0</v>
      </c>
      <c r="M43" s="6">
        <f>SUM(RevenueTable[[#This Row],[Physicians Assistant]:[Peer Recovery Specialist]])</f>
        <v>0</v>
      </c>
    </row>
    <row r="44" spans="1:13" x14ac:dyDescent="0.25">
      <c r="A44" s="6" t="str">
        <f>INDEX(CodeMinutesTable[Frequently Used],MATCH(RevenueTable[[#This Row],[Billing Code]],CodeMinutesTable[Code],0))</f>
        <v>Yes</v>
      </c>
      <c r="B44" s="3" t="s">
        <v>119</v>
      </c>
      <c r="C44" t="s">
        <v>120</v>
      </c>
      <c r="D44" s="6">
        <f>UnitsTable[[#This Row],[Physicians Assistant]]*CodeRatesTable[[#This Row],[Physicians Assistant]]</f>
        <v>0</v>
      </c>
      <c r="E44" s="6">
        <f>UnitsTable[[#This Row],[Nurse Practitioner]]*CodeRatesTable[[#This Row],[Nurse Practitioner]]</f>
        <v>0</v>
      </c>
      <c r="F44" s="6">
        <f>UnitsTable[[#This Row],[RN]]*CodeRatesTable[[#This Row],[RN]]</f>
        <v>0</v>
      </c>
      <c r="G44" s="6">
        <f>UnitsTable[[#This Row],[Pharmacist]]*CodeRatesTable[[#This Row],[Pharmacist]]</f>
        <v>0</v>
      </c>
      <c r="H44" s="6">
        <f>UnitsTable[[#This Row],[MD (typically in SUD system of care)]]*CodeRatesTable[[#This Row],[MD (typically in SUD system of care)]]</f>
        <v>0</v>
      </c>
      <c r="I44" s="6">
        <f>UnitsTable[[#This Row],[Psychologist/Pre-licensed Psychologist]]*CodeRatesTable[[#This Row],[Psychologist/Pre-licensed Psychologist]]</f>
        <v>0</v>
      </c>
      <c r="J44" s="6">
        <f>UnitsTable[[#This Row],[LPHA (MFT  LCSW  LPCC)/ Intern or Waivered LPHA (MFT  LCSW  LPCC)]]*CodeRatesTable[[#This Row],[LPHA (MFT  LCSW  LPCC)/ Intern or Waivered LPHA (MFT  LCSW  LPCC)]]</f>
        <v>0</v>
      </c>
      <c r="K44" s="6">
        <f>UnitsTable[[#This Row],[Alcohol and Drug Counselor]]*CodeRatesTable[[#This Row],[Alcohol and Drug Counselor]]</f>
        <v>0</v>
      </c>
      <c r="L44" s="6">
        <f>UnitsTable[[#This Row],[Peer Recovery Specialist]]*CodeRatesTable[[#This Row],[Peer Recovery Specialist]]</f>
        <v>0</v>
      </c>
      <c r="M44" s="6">
        <f>SUM(RevenueTable[[#This Row],[Physicians Assistant]:[Peer Recovery Specialist]])</f>
        <v>0</v>
      </c>
    </row>
    <row r="45" spans="1:13" x14ac:dyDescent="0.25">
      <c r="A45" s="6" t="str">
        <f>INDEX(CodeMinutesTable[Frequently Used],MATCH(RevenueTable[[#This Row],[Billing Code]],CodeMinutesTable[Code],0))</f>
        <v>Yes</v>
      </c>
      <c r="B45" s="3" t="s">
        <v>121</v>
      </c>
      <c r="C45" t="s">
        <v>122</v>
      </c>
      <c r="D45" s="6">
        <f>UnitsTable[[#This Row],[Physicians Assistant]]*CodeRatesTable[[#This Row],[Physicians Assistant]]</f>
        <v>0</v>
      </c>
      <c r="E45" s="6">
        <f>UnitsTable[[#This Row],[Nurse Practitioner]]*CodeRatesTable[[#This Row],[Nurse Practitioner]]</f>
        <v>0</v>
      </c>
      <c r="F45" s="6">
        <f>UnitsTable[[#This Row],[RN]]*CodeRatesTable[[#This Row],[RN]]</f>
        <v>0</v>
      </c>
      <c r="G45" s="6">
        <f>UnitsTable[[#This Row],[Pharmacist]]*CodeRatesTable[[#This Row],[Pharmacist]]</f>
        <v>0</v>
      </c>
      <c r="H45" s="6">
        <f>UnitsTable[[#This Row],[MD (typically in SUD system of care)]]*CodeRatesTable[[#This Row],[MD (typically in SUD system of care)]]</f>
        <v>0</v>
      </c>
      <c r="I45" s="6">
        <f>UnitsTable[[#This Row],[Psychologist/Pre-licensed Psychologist]]*CodeRatesTable[[#This Row],[Psychologist/Pre-licensed Psychologist]]</f>
        <v>0</v>
      </c>
      <c r="J45" s="6">
        <f>UnitsTable[[#This Row],[LPHA (MFT  LCSW  LPCC)/ Intern or Waivered LPHA (MFT  LCSW  LPCC)]]*CodeRatesTable[[#This Row],[LPHA (MFT  LCSW  LPCC)/ Intern or Waivered LPHA (MFT  LCSW  LPCC)]]</f>
        <v>0</v>
      </c>
      <c r="K45" s="6">
        <f>UnitsTable[[#This Row],[Alcohol and Drug Counselor]]*CodeRatesTable[[#This Row],[Alcohol and Drug Counselor]]</f>
        <v>0</v>
      </c>
      <c r="L45" s="6">
        <f>UnitsTable[[#This Row],[Peer Recovery Specialist]]*CodeRatesTable[[#This Row],[Peer Recovery Specialist]]</f>
        <v>0</v>
      </c>
      <c r="M45" s="6">
        <f>SUM(RevenueTable[[#This Row],[Physicians Assistant]:[Peer Recovery Specialist]])</f>
        <v>0</v>
      </c>
    </row>
    <row r="46" spans="1:13" x14ac:dyDescent="0.25">
      <c r="A46" s="6" t="str">
        <f>INDEX(CodeMinutesTable[Frequently Used],MATCH(RevenueTable[[#This Row],[Billing Code]],CodeMinutesTable[Code],0))</f>
        <v>Yes</v>
      </c>
      <c r="B46" s="3" t="s">
        <v>123</v>
      </c>
      <c r="C46" t="s">
        <v>124</v>
      </c>
      <c r="D46" s="6">
        <f>UnitsTable[[#This Row],[Physicians Assistant]]*CodeRatesTable[[#This Row],[Physicians Assistant]]</f>
        <v>0</v>
      </c>
      <c r="E46" s="6">
        <f>UnitsTable[[#This Row],[Nurse Practitioner]]*CodeRatesTable[[#This Row],[Nurse Practitioner]]</f>
        <v>0</v>
      </c>
      <c r="F46" s="6">
        <f>UnitsTable[[#This Row],[RN]]*CodeRatesTable[[#This Row],[RN]]</f>
        <v>0</v>
      </c>
      <c r="G46" s="6">
        <f>UnitsTable[[#This Row],[Pharmacist]]*CodeRatesTable[[#This Row],[Pharmacist]]</f>
        <v>0</v>
      </c>
      <c r="H46" s="6">
        <f>UnitsTable[[#This Row],[MD (typically in SUD system of care)]]*CodeRatesTable[[#This Row],[MD (typically in SUD system of care)]]</f>
        <v>0</v>
      </c>
      <c r="I46" s="6">
        <f>UnitsTable[[#This Row],[Psychologist/Pre-licensed Psychologist]]*CodeRatesTable[[#This Row],[Psychologist/Pre-licensed Psychologist]]</f>
        <v>0</v>
      </c>
      <c r="J46" s="6">
        <f>UnitsTable[[#This Row],[LPHA (MFT  LCSW  LPCC)/ Intern or Waivered LPHA (MFT  LCSW  LPCC)]]*CodeRatesTable[[#This Row],[LPHA (MFT  LCSW  LPCC)/ Intern or Waivered LPHA (MFT  LCSW  LPCC)]]</f>
        <v>0</v>
      </c>
      <c r="K46" s="6">
        <f>UnitsTable[[#This Row],[Alcohol and Drug Counselor]]*CodeRatesTable[[#This Row],[Alcohol and Drug Counselor]]</f>
        <v>0</v>
      </c>
      <c r="L46" s="6">
        <f>UnitsTable[[#This Row],[Peer Recovery Specialist]]*CodeRatesTable[[#This Row],[Peer Recovery Specialist]]</f>
        <v>0</v>
      </c>
      <c r="M46" s="6">
        <f>SUM(RevenueTable[[#This Row],[Physicians Assistant]:[Peer Recovery Specialist]])</f>
        <v>0</v>
      </c>
    </row>
    <row r="47" spans="1:13" x14ac:dyDescent="0.25">
      <c r="A47" s="6" t="str">
        <f>INDEX(CodeMinutesTable[Frequently Used],MATCH(RevenueTable[[#This Row],[Billing Code]],CodeMinutesTable[Code],0))</f>
        <v>Yes</v>
      </c>
      <c r="B47" s="3" t="s">
        <v>125</v>
      </c>
      <c r="C47" t="s">
        <v>126</v>
      </c>
      <c r="D47" s="6">
        <f>UnitsTable[[#This Row],[Physicians Assistant]]*CodeRatesTable[[#This Row],[Physicians Assistant]]</f>
        <v>0</v>
      </c>
      <c r="E47" s="6">
        <f>UnitsTable[[#This Row],[Nurse Practitioner]]*CodeRatesTable[[#This Row],[Nurse Practitioner]]</f>
        <v>0</v>
      </c>
      <c r="F47" s="6">
        <f>UnitsTable[[#This Row],[RN]]*CodeRatesTable[[#This Row],[RN]]</f>
        <v>0</v>
      </c>
      <c r="G47" s="6">
        <f>UnitsTable[[#This Row],[Pharmacist]]*CodeRatesTable[[#This Row],[Pharmacist]]</f>
        <v>0</v>
      </c>
      <c r="H47" s="6">
        <f>UnitsTable[[#This Row],[MD (typically in SUD system of care)]]*CodeRatesTable[[#This Row],[MD (typically in SUD system of care)]]</f>
        <v>0</v>
      </c>
      <c r="I47" s="6">
        <f>UnitsTable[[#This Row],[Psychologist/Pre-licensed Psychologist]]*CodeRatesTable[[#This Row],[Psychologist/Pre-licensed Psychologist]]</f>
        <v>0</v>
      </c>
      <c r="J47" s="6">
        <f>UnitsTable[[#This Row],[LPHA (MFT  LCSW  LPCC)/ Intern or Waivered LPHA (MFT  LCSW  LPCC)]]*CodeRatesTable[[#This Row],[LPHA (MFT  LCSW  LPCC)/ Intern or Waivered LPHA (MFT  LCSW  LPCC)]]</f>
        <v>0</v>
      </c>
      <c r="K47" s="6">
        <f>UnitsTable[[#This Row],[Alcohol and Drug Counselor]]*CodeRatesTable[[#This Row],[Alcohol and Drug Counselor]]</f>
        <v>0</v>
      </c>
      <c r="L47" s="6">
        <f>UnitsTable[[#This Row],[Peer Recovery Specialist]]*CodeRatesTable[[#This Row],[Peer Recovery Specialist]]</f>
        <v>0</v>
      </c>
      <c r="M47" s="6">
        <f>SUM(RevenueTable[[#This Row],[Physicians Assistant]:[Peer Recovery Specialist]])</f>
        <v>0</v>
      </c>
    </row>
    <row r="48" spans="1:13" x14ac:dyDescent="0.25">
      <c r="A48" s="6" t="str">
        <f>INDEX(CodeMinutesTable[Frequently Used],MATCH(RevenueTable[[#This Row],[Billing Code]],CodeMinutesTable[Code],0))</f>
        <v>Yes</v>
      </c>
      <c r="B48" s="3" t="s">
        <v>127</v>
      </c>
      <c r="C48" t="s">
        <v>128</v>
      </c>
      <c r="D48" s="6">
        <f>UnitsTable[[#This Row],[Physicians Assistant]]*CodeRatesTable[[#This Row],[Physicians Assistant]]</f>
        <v>0</v>
      </c>
      <c r="E48" s="6">
        <f>UnitsTable[[#This Row],[Nurse Practitioner]]*CodeRatesTable[[#This Row],[Nurse Practitioner]]</f>
        <v>0</v>
      </c>
      <c r="F48" s="6">
        <f>UnitsTable[[#This Row],[RN]]*CodeRatesTable[[#This Row],[RN]]</f>
        <v>0</v>
      </c>
      <c r="G48" s="6">
        <f>UnitsTable[[#This Row],[Pharmacist]]*CodeRatesTable[[#This Row],[Pharmacist]]</f>
        <v>0</v>
      </c>
      <c r="H48" s="6">
        <f>UnitsTable[[#This Row],[MD (typically in SUD system of care)]]*CodeRatesTable[[#This Row],[MD (typically in SUD system of care)]]</f>
        <v>0</v>
      </c>
      <c r="I48" s="6">
        <f>UnitsTable[[#This Row],[Psychologist/Pre-licensed Psychologist]]*CodeRatesTable[[#This Row],[Psychologist/Pre-licensed Psychologist]]</f>
        <v>0</v>
      </c>
      <c r="J48" s="6">
        <f>UnitsTable[[#This Row],[LPHA (MFT  LCSW  LPCC)/ Intern or Waivered LPHA (MFT  LCSW  LPCC)]]*CodeRatesTable[[#This Row],[LPHA (MFT  LCSW  LPCC)/ Intern or Waivered LPHA (MFT  LCSW  LPCC)]]</f>
        <v>0</v>
      </c>
      <c r="K48" s="6">
        <f>UnitsTable[[#This Row],[Alcohol and Drug Counselor]]*CodeRatesTable[[#This Row],[Alcohol and Drug Counselor]]</f>
        <v>0</v>
      </c>
      <c r="L48" s="6">
        <f>UnitsTable[[#This Row],[Peer Recovery Specialist]]*CodeRatesTable[[#This Row],[Peer Recovery Specialist]]</f>
        <v>0</v>
      </c>
      <c r="M48" s="6">
        <f>SUM(RevenueTable[[#This Row],[Physicians Assistant]:[Peer Recovery Specialist]])</f>
        <v>0</v>
      </c>
    </row>
    <row r="49" spans="1:13" x14ac:dyDescent="0.25">
      <c r="A49" s="6" t="str">
        <f>INDEX(CodeMinutesTable[Frequently Used],MATCH(RevenueTable[[#This Row],[Billing Code]],CodeMinutesTable[Code],0))</f>
        <v>Yes</v>
      </c>
      <c r="B49" s="3" t="s">
        <v>129</v>
      </c>
      <c r="C49" t="s">
        <v>130</v>
      </c>
      <c r="D49" s="6">
        <f>UnitsTable[[#This Row],[Physicians Assistant]]*CodeRatesTable[[#This Row],[Physicians Assistant]]</f>
        <v>0</v>
      </c>
      <c r="E49" s="6">
        <f>UnitsTable[[#This Row],[Nurse Practitioner]]*CodeRatesTable[[#This Row],[Nurse Practitioner]]</f>
        <v>0</v>
      </c>
      <c r="F49" s="6">
        <f>UnitsTable[[#This Row],[RN]]*CodeRatesTable[[#This Row],[RN]]</f>
        <v>0</v>
      </c>
      <c r="G49" s="6">
        <f>UnitsTable[[#This Row],[Pharmacist]]*CodeRatesTable[[#This Row],[Pharmacist]]</f>
        <v>0</v>
      </c>
      <c r="H49" s="6">
        <f>UnitsTable[[#This Row],[MD (typically in SUD system of care)]]*CodeRatesTable[[#This Row],[MD (typically in SUD system of care)]]</f>
        <v>0</v>
      </c>
      <c r="I49" s="6">
        <f>UnitsTable[[#This Row],[Psychologist/Pre-licensed Psychologist]]*CodeRatesTable[[#This Row],[Psychologist/Pre-licensed Psychologist]]</f>
        <v>0</v>
      </c>
      <c r="J49" s="6">
        <f>UnitsTable[[#This Row],[LPHA (MFT  LCSW  LPCC)/ Intern or Waivered LPHA (MFT  LCSW  LPCC)]]*CodeRatesTable[[#This Row],[LPHA (MFT  LCSW  LPCC)/ Intern or Waivered LPHA (MFT  LCSW  LPCC)]]</f>
        <v>0</v>
      </c>
      <c r="K49" s="6">
        <f>UnitsTable[[#This Row],[Alcohol and Drug Counselor]]*CodeRatesTable[[#This Row],[Alcohol and Drug Counselor]]</f>
        <v>0</v>
      </c>
      <c r="L49" s="6">
        <f>UnitsTable[[#This Row],[Peer Recovery Specialist]]*CodeRatesTable[[#This Row],[Peer Recovery Specialist]]</f>
        <v>0</v>
      </c>
      <c r="M49" s="6">
        <f>SUM(RevenueTable[[#This Row],[Physicians Assistant]:[Peer Recovery Specialist]])</f>
        <v>0</v>
      </c>
    </row>
    <row r="50" spans="1:13" x14ac:dyDescent="0.25">
      <c r="A50" s="6" t="str">
        <f>INDEX(CodeMinutesTable[Frequently Used],MATCH(RevenueTable[[#This Row],[Billing Code]],CodeMinutesTable[Code],0))</f>
        <v>Yes</v>
      </c>
      <c r="B50" s="3" t="s">
        <v>131</v>
      </c>
      <c r="C50" t="s">
        <v>132</v>
      </c>
      <c r="D50" s="6">
        <f>UnitsTable[[#This Row],[Physicians Assistant]]*CodeRatesTable[[#This Row],[Physicians Assistant]]</f>
        <v>0</v>
      </c>
      <c r="E50" s="6">
        <f>UnitsTable[[#This Row],[Nurse Practitioner]]*CodeRatesTable[[#This Row],[Nurse Practitioner]]</f>
        <v>0</v>
      </c>
      <c r="F50" s="6">
        <f>UnitsTable[[#This Row],[RN]]*CodeRatesTable[[#This Row],[RN]]</f>
        <v>0</v>
      </c>
      <c r="G50" s="6">
        <f>UnitsTable[[#This Row],[Pharmacist]]*CodeRatesTable[[#This Row],[Pharmacist]]</f>
        <v>0</v>
      </c>
      <c r="H50" s="6">
        <f>UnitsTable[[#This Row],[MD (typically in SUD system of care)]]*CodeRatesTable[[#This Row],[MD (typically in SUD system of care)]]</f>
        <v>0</v>
      </c>
      <c r="I50" s="6">
        <f>UnitsTable[[#This Row],[Psychologist/Pre-licensed Psychologist]]*CodeRatesTable[[#This Row],[Psychologist/Pre-licensed Psychologist]]</f>
        <v>0</v>
      </c>
      <c r="J50" s="6">
        <f>UnitsTable[[#This Row],[LPHA (MFT  LCSW  LPCC)/ Intern or Waivered LPHA (MFT  LCSW  LPCC)]]*CodeRatesTable[[#This Row],[LPHA (MFT  LCSW  LPCC)/ Intern or Waivered LPHA (MFT  LCSW  LPCC)]]</f>
        <v>0</v>
      </c>
      <c r="K50" s="6">
        <f>UnitsTable[[#This Row],[Alcohol and Drug Counselor]]*CodeRatesTable[[#This Row],[Alcohol and Drug Counselor]]</f>
        <v>0</v>
      </c>
      <c r="L50" s="6">
        <f>UnitsTable[[#This Row],[Peer Recovery Specialist]]*CodeRatesTable[[#This Row],[Peer Recovery Specialist]]</f>
        <v>0</v>
      </c>
      <c r="M50" s="6">
        <f>SUM(RevenueTable[[#This Row],[Physicians Assistant]:[Peer Recovery Specialist]])</f>
        <v>0</v>
      </c>
    </row>
    <row r="51" spans="1:13" x14ac:dyDescent="0.25">
      <c r="A51" s="6" t="str">
        <f>INDEX(CodeMinutesTable[Frequently Used],MATCH(RevenueTable[[#This Row],[Billing Code]],CodeMinutesTable[Code],0))</f>
        <v>Yes</v>
      </c>
      <c r="B51" s="3" t="s">
        <v>133</v>
      </c>
      <c r="C51" t="s">
        <v>134</v>
      </c>
      <c r="D51" s="6">
        <f>UnitsTable[[#This Row],[Physicians Assistant]]*CodeRatesTable[[#This Row],[Physicians Assistant]]</f>
        <v>0</v>
      </c>
      <c r="E51" s="6">
        <f>UnitsTable[[#This Row],[Nurse Practitioner]]*CodeRatesTable[[#This Row],[Nurse Practitioner]]</f>
        <v>0</v>
      </c>
      <c r="F51" s="6">
        <f>UnitsTable[[#This Row],[RN]]*CodeRatesTable[[#This Row],[RN]]</f>
        <v>0</v>
      </c>
      <c r="G51" s="6">
        <f>UnitsTable[[#This Row],[Pharmacist]]*CodeRatesTable[[#This Row],[Pharmacist]]</f>
        <v>0</v>
      </c>
      <c r="H51" s="6">
        <f>UnitsTable[[#This Row],[MD (typically in SUD system of care)]]*CodeRatesTable[[#This Row],[MD (typically in SUD system of care)]]</f>
        <v>0</v>
      </c>
      <c r="I51" s="6">
        <f>UnitsTable[[#This Row],[Psychologist/Pre-licensed Psychologist]]*CodeRatesTable[[#This Row],[Psychologist/Pre-licensed Psychologist]]</f>
        <v>0</v>
      </c>
      <c r="J51" s="6">
        <f>UnitsTable[[#This Row],[LPHA (MFT  LCSW  LPCC)/ Intern or Waivered LPHA (MFT  LCSW  LPCC)]]*CodeRatesTable[[#This Row],[LPHA (MFT  LCSW  LPCC)/ Intern or Waivered LPHA (MFT  LCSW  LPCC)]]</f>
        <v>0</v>
      </c>
      <c r="K51" s="6">
        <f>UnitsTable[[#This Row],[Alcohol and Drug Counselor]]*CodeRatesTable[[#This Row],[Alcohol and Drug Counselor]]</f>
        <v>0</v>
      </c>
      <c r="L51" s="6">
        <f>UnitsTable[[#This Row],[Peer Recovery Specialist]]*CodeRatesTable[[#This Row],[Peer Recovery Specialist]]</f>
        <v>0</v>
      </c>
      <c r="M51" s="6">
        <f>SUM(RevenueTable[[#This Row],[Physicians Assistant]:[Peer Recovery Specialist]])</f>
        <v>0</v>
      </c>
    </row>
    <row r="52" spans="1:13" x14ac:dyDescent="0.25">
      <c r="A52" s="6" t="str">
        <f>INDEX(CodeMinutesTable[Frequently Used],MATCH(RevenueTable[[#This Row],[Billing Code]],CodeMinutesTable[Code],0))</f>
        <v>Yes</v>
      </c>
      <c r="B52" s="3" t="s">
        <v>135</v>
      </c>
      <c r="C52" t="s">
        <v>136</v>
      </c>
      <c r="D52" s="6">
        <f>UnitsTable[[#This Row],[Physicians Assistant]]*CodeRatesTable[[#This Row],[Physicians Assistant]]</f>
        <v>0</v>
      </c>
      <c r="E52" s="6">
        <f>UnitsTable[[#This Row],[Nurse Practitioner]]*CodeRatesTable[[#This Row],[Nurse Practitioner]]</f>
        <v>0</v>
      </c>
      <c r="F52" s="6">
        <f>UnitsTable[[#This Row],[RN]]*CodeRatesTable[[#This Row],[RN]]</f>
        <v>0</v>
      </c>
      <c r="G52" s="6">
        <f>UnitsTable[[#This Row],[Pharmacist]]*CodeRatesTable[[#This Row],[Pharmacist]]</f>
        <v>0</v>
      </c>
      <c r="H52" s="6">
        <f>UnitsTable[[#This Row],[MD (typically in SUD system of care)]]*CodeRatesTable[[#This Row],[MD (typically in SUD system of care)]]</f>
        <v>0</v>
      </c>
      <c r="I52" s="6">
        <f>UnitsTable[[#This Row],[Psychologist/Pre-licensed Psychologist]]*CodeRatesTable[[#This Row],[Psychologist/Pre-licensed Psychologist]]</f>
        <v>0</v>
      </c>
      <c r="J52" s="6">
        <f>UnitsTable[[#This Row],[LPHA (MFT  LCSW  LPCC)/ Intern or Waivered LPHA (MFT  LCSW  LPCC)]]*CodeRatesTable[[#This Row],[LPHA (MFT  LCSW  LPCC)/ Intern or Waivered LPHA (MFT  LCSW  LPCC)]]</f>
        <v>0</v>
      </c>
      <c r="K52" s="6">
        <f>UnitsTable[[#This Row],[Alcohol and Drug Counselor]]*CodeRatesTable[[#This Row],[Alcohol and Drug Counselor]]</f>
        <v>0</v>
      </c>
      <c r="L52" s="6">
        <f>UnitsTable[[#This Row],[Peer Recovery Specialist]]*CodeRatesTable[[#This Row],[Peer Recovery Specialist]]</f>
        <v>0</v>
      </c>
      <c r="M52" s="6">
        <f>SUM(RevenueTable[[#This Row],[Physicians Assistant]:[Peer Recovery Specialist]])</f>
        <v>0</v>
      </c>
    </row>
    <row r="53" spans="1:13" x14ac:dyDescent="0.25">
      <c r="A53" s="6" t="str">
        <f>INDEX(CodeMinutesTable[Frequently Used],MATCH(RevenueTable[[#This Row],[Billing Code]],CodeMinutesTable[Code],0))</f>
        <v>Yes</v>
      </c>
      <c r="B53" s="3" t="s">
        <v>137</v>
      </c>
      <c r="C53" t="s">
        <v>138</v>
      </c>
      <c r="D53" s="6">
        <f>UnitsTable[[#This Row],[Physicians Assistant]]*CodeRatesTable[[#This Row],[Physicians Assistant]]</f>
        <v>0</v>
      </c>
      <c r="E53" s="6">
        <f>UnitsTable[[#This Row],[Nurse Practitioner]]*CodeRatesTable[[#This Row],[Nurse Practitioner]]</f>
        <v>0</v>
      </c>
      <c r="F53" s="6">
        <f>UnitsTable[[#This Row],[RN]]*CodeRatesTable[[#This Row],[RN]]</f>
        <v>0</v>
      </c>
      <c r="G53" s="6">
        <f>UnitsTable[[#This Row],[Pharmacist]]*CodeRatesTable[[#This Row],[Pharmacist]]</f>
        <v>0</v>
      </c>
      <c r="H53" s="6">
        <f>UnitsTable[[#This Row],[MD (typically in SUD system of care)]]*CodeRatesTable[[#This Row],[MD (typically in SUD system of care)]]</f>
        <v>0</v>
      </c>
      <c r="I53" s="6">
        <f>UnitsTable[[#This Row],[Psychologist/Pre-licensed Psychologist]]*CodeRatesTable[[#This Row],[Psychologist/Pre-licensed Psychologist]]</f>
        <v>0</v>
      </c>
      <c r="J53" s="6">
        <f>UnitsTable[[#This Row],[LPHA (MFT  LCSW  LPCC)/ Intern or Waivered LPHA (MFT  LCSW  LPCC)]]*CodeRatesTable[[#This Row],[LPHA (MFT  LCSW  LPCC)/ Intern or Waivered LPHA (MFT  LCSW  LPCC)]]</f>
        <v>0</v>
      </c>
      <c r="K53" s="6">
        <f>UnitsTable[[#This Row],[Alcohol and Drug Counselor]]*CodeRatesTable[[#This Row],[Alcohol and Drug Counselor]]</f>
        <v>0</v>
      </c>
      <c r="L53" s="6">
        <f>UnitsTable[[#This Row],[Peer Recovery Specialist]]*CodeRatesTable[[#This Row],[Peer Recovery Specialist]]</f>
        <v>0</v>
      </c>
      <c r="M53" s="6">
        <f>SUM(RevenueTable[[#This Row],[Physicians Assistant]:[Peer Recovery Specialist]])</f>
        <v>0</v>
      </c>
    </row>
    <row r="54" spans="1:13" x14ac:dyDescent="0.25">
      <c r="A54" s="6" t="str">
        <f>INDEX(CodeMinutesTable[Frequently Used],MATCH(RevenueTable[[#This Row],[Billing Code]],CodeMinutesTable[Code],0))</f>
        <v>Yes</v>
      </c>
      <c r="B54" s="3" t="s">
        <v>139</v>
      </c>
      <c r="C54" t="s">
        <v>140</v>
      </c>
      <c r="D54" s="6">
        <f>UnitsTable[[#This Row],[Physicians Assistant]]*CodeRatesTable[[#This Row],[Physicians Assistant]]</f>
        <v>0</v>
      </c>
      <c r="E54" s="6">
        <f>UnitsTable[[#This Row],[Nurse Practitioner]]*CodeRatesTable[[#This Row],[Nurse Practitioner]]</f>
        <v>0</v>
      </c>
      <c r="F54" s="6">
        <f>UnitsTable[[#This Row],[RN]]*CodeRatesTable[[#This Row],[RN]]</f>
        <v>0</v>
      </c>
      <c r="G54" s="6">
        <f>UnitsTable[[#This Row],[Pharmacist]]*CodeRatesTable[[#This Row],[Pharmacist]]</f>
        <v>0</v>
      </c>
      <c r="H54" s="6">
        <f>UnitsTable[[#This Row],[MD (typically in SUD system of care)]]*CodeRatesTable[[#This Row],[MD (typically in SUD system of care)]]</f>
        <v>0</v>
      </c>
      <c r="I54" s="6">
        <f>UnitsTable[[#This Row],[Psychologist/Pre-licensed Psychologist]]*CodeRatesTable[[#This Row],[Psychologist/Pre-licensed Psychologist]]</f>
        <v>0</v>
      </c>
      <c r="J54" s="6">
        <f>UnitsTable[[#This Row],[LPHA (MFT  LCSW  LPCC)/ Intern or Waivered LPHA (MFT  LCSW  LPCC)]]*CodeRatesTable[[#This Row],[LPHA (MFT  LCSW  LPCC)/ Intern or Waivered LPHA (MFT  LCSW  LPCC)]]</f>
        <v>0</v>
      </c>
      <c r="K54" s="6">
        <f>UnitsTable[[#This Row],[Alcohol and Drug Counselor]]*CodeRatesTable[[#This Row],[Alcohol and Drug Counselor]]</f>
        <v>0</v>
      </c>
      <c r="L54" s="6">
        <f>UnitsTable[[#This Row],[Peer Recovery Specialist]]*CodeRatesTable[[#This Row],[Peer Recovery Specialist]]</f>
        <v>0</v>
      </c>
      <c r="M54" s="6">
        <f>SUM(RevenueTable[[#This Row],[Physicians Assistant]:[Peer Recovery Specialist]])</f>
        <v>0</v>
      </c>
    </row>
    <row r="55" spans="1:13" x14ac:dyDescent="0.25">
      <c r="A55" s="6" t="str">
        <f>INDEX(CodeMinutesTable[Frequently Used],MATCH(RevenueTable[[#This Row],[Billing Code]],CodeMinutesTable[Code],0))</f>
        <v>Yes</v>
      </c>
      <c r="B55" s="3" t="s">
        <v>141</v>
      </c>
      <c r="C55" t="s">
        <v>142</v>
      </c>
      <c r="D55" s="6">
        <f>UnitsTable[[#This Row],[Physicians Assistant]]*CodeRatesTable[[#This Row],[Physicians Assistant]]</f>
        <v>0</v>
      </c>
      <c r="E55" s="6">
        <f>UnitsTable[[#This Row],[Nurse Practitioner]]*CodeRatesTable[[#This Row],[Nurse Practitioner]]</f>
        <v>0</v>
      </c>
      <c r="F55" s="6">
        <f>UnitsTable[[#This Row],[RN]]*CodeRatesTable[[#This Row],[RN]]</f>
        <v>0</v>
      </c>
      <c r="G55" s="6">
        <f>UnitsTable[[#This Row],[Pharmacist]]*CodeRatesTable[[#This Row],[Pharmacist]]</f>
        <v>0</v>
      </c>
      <c r="H55" s="6">
        <f>UnitsTable[[#This Row],[MD (typically in SUD system of care)]]*CodeRatesTable[[#This Row],[MD (typically in SUD system of care)]]</f>
        <v>0</v>
      </c>
      <c r="I55" s="6">
        <f>UnitsTable[[#This Row],[Psychologist/Pre-licensed Psychologist]]*CodeRatesTable[[#This Row],[Psychologist/Pre-licensed Psychologist]]</f>
        <v>0</v>
      </c>
      <c r="J55" s="6">
        <f>UnitsTable[[#This Row],[LPHA (MFT  LCSW  LPCC)/ Intern or Waivered LPHA (MFT  LCSW  LPCC)]]*CodeRatesTable[[#This Row],[LPHA (MFT  LCSW  LPCC)/ Intern or Waivered LPHA (MFT  LCSW  LPCC)]]</f>
        <v>0</v>
      </c>
      <c r="K55" s="6">
        <f>UnitsTable[[#This Row],[Alcohol and Drug Counselor]]*CodeRatesTable[[#This Row],[Alcohol and Drug Counselor]]</f>
        <v>0</v>
      </c>
      <c r="L55" s="6">
        <f>UnitsTable[[#This Row],[Peer Recovery Specialist]]*CodeRatesTable[[#This Row],[Peer Recovery Specialist]]</f>
        <v>0</v>
      </c>
      <c r="M55" s="6">
        <f>SUM(RevenueTable[[#This Row],[Physicians Assistant]:[Peer Recovery Specialist]])</f>
        <v>0</v>
      </c>
    </row>
    <row r="56" spans="1:13" x14ac:dyDescent="0.25">
      <c r="A56" s="6" t="str">
        <f>INDEX(CodeMinutesTable[Frequently Used],MATCH(RevenueTable[[#This Row],[Billing Code]],CodeMinutesTable[Code],0))</f>
        <v>Yes</v>
      </c>
      <c r="B56" s="3" t="s">
        <v>143</v>
      </c>
      <c r="C56" t="s">
        <v>144</v>
      </c>
      <c r="D56" s="6">
        <f>UnitsTable[[#This Row],[Physicians Assistant]]*CodeRatesTable[[#This Row],[Physicians Assistant]]</f>
        <v>0</v>
      </c>
      <c r="E56" s="6">
        <f>UnitsTable[[#This Row],[Nurse Practitioner]]*CodeRatesTable[[#This Row],[Nurse Practitioner]]</f>
        <v>0</v>
      </c>
      <c r="F56" s="6">
        <f>UnitsTable[[#This Row],[RN]]*CodeRatesTable[[#This Row],[RN]]</f>
        <v>0</v>
      </c>
      <c r="G56" s="6">
        <f>UnitsTable[[#This Row],[Pharmacist]]*CodeRatesTable[[#This Row],[Pharmacist]]</f>
        <v>0</v>
      </c>
      <c r="H56" s="6">
        <f>UnitsTable[[#This Row],[MD (typically in SUD system of care)]]*CodeRatesTable[[#This Row],[MD (typically in SUD system of care)]]</f>
        <v>0</v>
      </c>
      <c r="I56" s="6">
        <f>UnitsTable[[#This Row],[Psychologist/Pre-licensed Psychologist]]*CodeRatesTable[[#This Row],[Psychologist/Pre-licensed Psychologist]]</f>
        <v>0</v>
      </c>
      <c r="J56" s="6">
        <f>UnitsTable[[#This Row],[LPHA (MFT  LCSW  LPCC)/ Intern or Waivered LPHA (MFT  LCSW  LPCC)]]*CodeRatesTable[[#This Row],[LPHA (MFT  LCSW  LPCC)/ Intern or Waivered LPHA (MFT  LCSW  LPCC)]]</f>
        <v>0</v>
      </c>
      <c r="K56" s="6">
        <f>UnitsTable[[#This Row],[Alcohol and Drug Counselor]]*CodeRatesTable[[#This Row],[Alcohol and Drug Counselor]]</f>
        <v>0</v>
      </c>
      <c r="L56" s="6">
        <f>UnitsTable[[#This Row],[Peer Recovery Specialist]]*CodeRatesTable[[#This Row],[Peer Recovery Specialist]]</f>
        <v>0</v>
      </c>
      <c r="M56" s="6">
        <f>SUM(RevenueTable[[#This Row],[Physicians Assistant]:[Peer Recovery Specialist]])</f>
        <v>0</v>
      </c>
    </row>
    <row r="57" spans="1:13" x14ac:dyDescent="0.25">
      <c r="A57" s="6" t="str">
        <f>INDEX(CodeMinutesTable[Frequently Used],MATCH(RevenueTable[[#This Row],[Billing Code]],CodeMinutesTable[Code],0))</f>
        <v>Yes</v>
      </c>
      <c r="B57" s="3" t="s">
        <v>145</v>
      </c>
      <c r="C57" t="s">
        <v>146</v>
      </c>
      <c r="D57" s="6">
        <f>UnitsTable[[#This Row],[Physicians Assistant]]*CodeRatesTable[[#This Row],[Physicians Assistant]]</f>
        <v>0</v>
      </c>
      <c r="E57" s="6">
        <f>UnitsTable[[#This Row],[Nurse Practitioner]]*CodeRatesTable[[#This Row],[Nurse Practitioner]]</f>
        <v>0</v>
      </c>
      <c r="F57" s="6">
        <f>UnitsTable[[#This Row],[RN]]*CodeRatesTable[[#This Row],[RN]]</f>
        <v>0</v>
      </c>
      <c r="G57" s="6">
        <f>UnitsTable[[#This Row],[Pharmacist]]*CodeRatesTable[[#This Row],[Pharmacist]]</f>
        <v>0</v>
      </c>
      <c r="H57" s="6">
        <f>UnitsTable[[#This Row],[MD (typically in SUD system of care)]]*CodeRatesTable[[#This Row],[MD (typically in SUD system of care)]]</f>
        <v>0</v>
      </c>
      <c r="I57" s="6">
        <f>UnitsTable[[#This Row],[Psychologist/Pre-licensed Psychologist]]*CodeRatesTable[[#This Row],[Psychologist/Pre-licensed Psychologist]]</f>
        <v>0</v>
      </c>
      <c r="J57" s="6">
        <f>UnitsTable[[#This Row],[LPHA (MFT  LCSW  LPCC)/ Intern or Waivered LPHA (MFT  LCSW  LPCC)]]*CodeRatesTable[[#This Row],[LPHA (MFT  LCSW  LPCC)/ Intern or Waivered LPHA (MFT  LCSW  LPCC)]]</f>
        <v>0</v>
      </c>
      <c r="K57" s="6">
        <f>UnitsTable[[#This Row],[Alcohol and Drug Counselor]]*CodeRatesTable[[#This Row],[Alcohol and Drug Counselor]]</f>
        <v>0</v>
      </c>
      <c r="L57" s="6">
        <f>UnitsTable[[#This Row],[Peer Recovery Specialist]]*CodeRatesTable[[#This Row],[Peer Recovery Specialist]]</f>
        <v>0</v>
      </c>
      <c r="M57" s="6">
        <f>SUM(RevenueTable[[#This Row],[Physicians Assistant]:[Peer Recovery Specialist]])</f>
        <v>0</v>
      </c>
    </row>
    <row r="58" spans="1:13" x14ac:dyDescent="0.25">
      <c r="A58" s="6" t="str">
        <f>INDEX(CodeMinutesTable[Frequently Used],MATCH(RevenueTable[[#This Row],[Billing Code]],CodeMinutesTable[Code],0))</f>
        <v>Yes</v>
      </c>
      <c r="B58" s="3" t="s">
        <v>147</v>
      </c>
      <c r="C58" t="s">
        <v>148</v>
      </c>
      <c r="D58" s="6">
        <f>UnitsTable[[#This Row],[Physicians Assistant]]*CodeRatesTable[[#This Row],[Physicians Assistant]]</f>
        <v>0</v>
      </c>
      <c r="E58" s="6">
        <f>UnitsTable[[#This Row],[Nurse Practitioner]]*CodeRatesTable[[#This Row],[Nurse Practitioner]]</f>
        <v>0</v>
      </c>
      <c r="F58" s="6">
        <f>UnitsTable[[#This Row],[RN]]*CodeRatesTable[[#This Row],[RN]]</f>
        <v>0</v>
      </c>
      <c r="G58" s="6">
        <f>UnitsTable[[#This Row],[Pharmacist]]*CodeRatesTable[[#This Row],[Pharmacist]]</f>
        <v>0</v>
      </c>
      <c r="H58" s="6">
        <f>UnitsTable[[#This Row],[MD (typically in SUD system of care)]]*CodeRatesTable[[#This Row],[MD (typically in SUD system of care)]]</f>
        <v>0</v>
      </c>
      <c r="I58" s="6">
        <f>UnitsTable[[#This Row],[Psychologist/Pre-licensed Psychologist]]*CodeRatesTable[[#This Row],[Psychologist/Pre-licensed Psychologist]]</f>
        <v>0</v>
      </c>
      <c r="J58" s="6">
        <f>UnitsTable[[#This Row],[LPHA (MFT  LCSW  LPCC)/ Intern or Waivered LPHA (MFT  LCSW  LPCC)]]*CodeRatesTable[[#This Row],[LPHA (MFT  LCSW  LPCC)/ Intern or Waivered LPHA (MFT  LCSW  LPCC)]]</f>
        <v>0</v>
      </c>
      <c r="K58" s="6">
        <f>UnitsTable[[#This Row],[Alcohol and Drug Counselor]]*CodeRatesTable[[#This Row],[Alcohol and Drug Counselor]]</f>
        <v>0</v>
      </c>
      <c r="L58" s="6">
        <f>UnitsTable[[#This Row],[Peer Recovery Specialist]]*CodeRatesTable[[#This Row],[Peer Recovery Specialist]]</f>
        <v>0</v>
      </c>
      <c r="M58" s="6">
        <f>SUM(RevenueTable[[#This Row],[Physicians Assistant]:[Peer Recovery Specialist]])</f>
        <v>0</v>
      </c>
    </row>
    <row r="59" spans="1:13" x14ac:dyDescent="0.25">
      <c r="A59" s="6" t="str">
        <f>INDEX(CodeMinutesTable[Frequently Used],MATCH(RevenueTable[[#This Row],[Billing Code]],CodeMinutesTable[Code],0))</f>
        <v>Yes</v>
      </c>
      <c r="B59" s="3" t="s">
        <v>149</v>
      </c>
      <c r="C59" t="s">
        <v>150</v>
      </c>
      <c r="D59" s="6">
        <f>UnitsTable[[#This Row],[Physicians Assistant]]*CodeRatesTable[[#This Row],[Physicians Assistant]]</f>
        <v>0</v>
      </c>
      <c r="E59" s="6">
        <f>UnitsTable[[#This Row],[Nurse Practitioner]]*CodeRatesTable[[#This Row],[Nurse Practitioner]]</f>
        <v>0</v>
      </c>
      <c r="F59" s="6">
        <f>UnitsTable[[#This Row],[RN]]*CodeRatesTable[[#This Row],[RN]]</f>
        <v>0</v>
      </c>
      <c r="G59" s="6">
        <f>UnitsTable[[#This Row],[Pharmacist]]*CodeRatesTable[[#This Row],[Pharmacist]]</f>
        <v>0</v>
      </c>
      <c r="H59" s="6">
        <f>UnitsTable[[#This Row],[MD (typically in SUD system of care)]]*CodeRatesTable[[#This Row],[MD (typically in SUD system of care)]]</f>
        <v>0</v>
      </c>
      <c r="I59" s="6">
        <f>UnitsTable[[#This Row],[Psychologist/Pre-licensed Psychologist]]*CodeRatesTable[[#This Row],[Psychologist/Pre-licensed Psychologist]]</f>
        <v>0</v>
      </c>
      <c r="J59" s="6">
        <f>UnitsTable[[#This Row],[LPHA (MFT  LCSW  LPCC)/ Intern or Waivered LPHA (MFT  LCSW  LPCC)]]*CodeRatesTable[[#This Row],[LPHA (MFT  LCSW  LPCC)/ Intern or Waivered LPHA (MFT  LCSW  LPCC)]]</f>
        <v>0</v>
      </c>
      <c r="K59" s="6">
        <f>UnitsTable[[#This Row],[Alcohol and Drug Counselor]]*CodeRatesTable[[#This Row],[Alcohol and Drug Counselor]]</f>
        <v>0</v>
      </c>
      <c r="L59" s="6">
        <f>UnitsTable[[#This Row],[Peer Recovery Specialist]]*CodeRatesTable[[#This Row],[Peer Recovery Specialist]]</f>
        <v>0</v>
      </c>
      <c r="M59" s="6">
        <f>SUM(RevenueTable[[#This Row],[Physicians Assistant]:[Peer Recovery Specialist]])</f>
        <v>0</v>
      </c>
    </row>
    <row r="60" spans="1:13" x14ac:dyDescent="0.25">
      <c r="A60" s="6" t="str">
        <f>INDEX(CodeMinutesTable[Frequently Used],MATCH(RevenueTable[[#This Row],[Billing Code]],CodeMinutesTable[Code],0))</f>
        <v>Yes</v>
      </c>
      <c r="B60" s="3" t="s">
        <v>151</v>
      </c>
      <c r="C60" t="s">
        <v>152</v>
      </c>
      <c r="D60" s="6">
        <f>UnitsTable[[#This Row],[Physicians Assistant]]*CodeRatesTable[[#This Row],[Physicians Assistant]]</f>
        <v>0</v>
      </c>
      <c r="E60" s="6">
        <f>UnitsTable[[#This Row],[Nurse Practitioner]]*CodeRatesTable[[#This Row],[Nurse Practitioner]]</f>
        <v>0</v>
      </c>
      <c r="F60" s="6">
        <f>UnitsTable[[#This Row],[RN]]*CodeRatesTable[[#This Row],[RN]]</f>
        <v>0</v>
      </c>
      <c r="G60" s="6">
        <f>UnitsTable[[#This Row],[Pharmacist]]*CodeRatesTable[[#This Row],[Pharmacist]]</f>
        <v>0</v>
      </c>
      <c r="H60" s="6">
        <f>UnitsTable[[#This Row],[MD (typically in SUD system of care)]]*CodeRatesTable[[#This Row],[MD (typically in SUD system of care)]]</f>
        <v>0</v>
      </c>
      <c r="I60" s="6">
        <f>UnitsTable[[#This Row],[Psychologist/Pre-licensed Psychologist]]*CodeRatesTable[[#This Row],[Psychologist/Pre-licensed Psychologist]]</f>
        <v>0</v>
      </c>
      <c r="J60" s="6">
        <f>UnitsTable[[#This Row],[LPHA (MFT  LCSW  LPCC)/ Intern or Waivered LPHA (MFT  LCSW  LPCC)]]*CodeRatesTable[[#This Row],[LPHA (MFT  LCSW  LPCC)/ Intern or Waivered LPHA (MFT  LCSW  LPCC)]]</f>
        <v>0</v>
      </c>
      <c r="K60" s="6">
        <f>UnitsTable[[#This Row],[Alcohol and Drug Counselor]]*CodeRatesTable[[#This Row],[Alcohol and Drug Counselor]]</f>
        <v>0</v>
      </c>
      <c r="L60" s="6">
        <f>UnitsTable[[#This Row],[Peer Recovery Specialist]]*CodeRatesTable[[#This Row],[Peer Recovery Specialist]]</f>
        <v>0</v>
      </c>
      <c r="M60" s="6">
        <f>SUM(RevenueTable[[#This Row],[Physicians Assistant]:[Peer Recovery Specialist]])</f>
        <v>0</v>
      </c>
    </row>
    <row r="61" spans="1:13" x14ac:dyDescent="0.25">
      <c r="A61" s="6" t="str">
        <f>INDEX(CodeMinutesTable[Frequently Used],MATCH(RevenueTable[[#This Row],[Billing Code]],CodeMinutesTable[Code],0))</f>
        <v>Yes</v>
      </c>
      <c r="B61" s="3" t="s">
        <v>153</v>
      </c>
      <c r="C61" t="s">
        <v>154</v>
      </c>
      <c r="D61" s="6">
        <f>UnitsTable[[#This Row],[Physicians Assistant]]*CodeRatesTable[[#This Row],[Physicians Assistant]]</f>
        <v>0</v>
      </c>
      <c r="E61" s="6">
        <f>UnitsTable[[#This Row],[Nurse Practitioner]]*CodeRatesTable[[#This Row],[Nurse Practitioner]]</f>
        <v>0</v>
      </c>
      <c r="F61" s="6">
        <f>UnitsTable[[#This Row],[RN]]*CodeRatesTable[[#This Row],[RN]]</f>
        <v>0</v>
      </c>
      <c r="G61" s="6">
        <f>UnitsTable[[#This Row],[Pharmacist]]*CodeRatesTable[[#This Row],[Pharmacist]]</f>
        <v>0</v>
      </c>
      <c r="H61" s="6">
        <f>UnitsTable[[#This Row],[MD (typically in SUD system of care)]]*CodeRatesTable[[#This Row],[MD (typically in SUD system of care)]]</f>
        <v>0</v>
      </c>
      <c r="I61" s="6">
        <f>UnitsTable[[#This Row],[Psychologist/Pre-licensed Psychologist]]*CodeRatesTable[[#This Row],[Psychologist/Pre-licensed Psychologist]]</f>
        <v>0</v>
      </c>
      <c r="J61" s="6">
        <f>UnitsTable[[#This Row],[LPHA (MFT  LCSW  LPCC)/ Intern or Waivered LPHA (MFT  LCSW  LPCC)]]*CodeRatesTable[[#This Row],[LPHA (MFT  LCSW  LPCC)/ Intern or Waivered LPHA (MFT  LCSW  LPCC)]]</f>
        <v>0</v>
      </c>
      <c r="K61" s="6">
        <f>UnitsTable[[#This Row],[Alcohol and Drug Counselor]]*CodeRatesTable[[#This Row],[Alcohol and Drug Counselor]]</f>
        <v>0</v>
      </c>
      <c r="L61" s="6">
        <f>UnitsTable[[#This Row],[Peer Recovery Specialist]]*CodeRatesTable[[#This Row],[Peer Recovery Specialist]]</f>
        <v>0</v>
      </c>
      <c r="M61" s="6">
        <f>SUM(RevenueTable[[#This Row],[Physicians Assistant]:[Peer Recovery Specialist]])</f>
        <v>0</v>
      </c>
    </row>
    <row r="62" spans="1:13" x14ac:dyDescent="0.25">
      <c r="A62" s="6" t="str">
        <f>INDEX(CodeMinutesTable[Frequently Used],MATCH(RevenueTable[[#This Row],[Billing Code]],CodeMinutesTable[Code],0))</f>
        <v>Yes</v>
      </c>
      <c r="B62" s="3" t="s">
        <v>155</v>
      </c>
      <c r="C62" t="s">
        <v>156</v>
      </c>
      <c r="D62" s="6">
        <f>UnitsTable[[#This Row],[Physicians Assistant]]*CodeRatesTable[[#This Row],[Physicians Assistant]]</f>
        <v>0</v>
      </c>
      <c r="E62" s="6">
        <f>UnitsTable[[#This Row],[Nurse Practitioner]]*CodeRatesTable[[#This Row],[Nurse Practitioner]]</f>
        <v>0</v>
      </c>
      <c r="F62" s="6">
        <f>UnitsTable[[#This Row],[RN]]*CodeRatesTable[[#This Row],[RN]]</f>
        <v>0</v>
      </c>
      <c r="G62" s="6">
        <f>UnitsTable[[#This Row],[Pharmacist]]*CodeRatesTable[[#This Row],[Pharmacist]]</f>
        <v>0</v>
      </c>
      <c r="H62" s="6">
        <f>UnitsTable[[#This Row],[MD (typically in SUD system of care)]]*CodeRatesTable[[#This Row],[MD (typically in SUD system of care)]]</f>
        <v>0</v>
      </c>
      <c r="I62" s="6">
        <f>UnitsTable[[#This Row],[Psychologist/Pre-licensed Psychologist]]*CodeRatesTable[[#This Row],[Psychologist/Pre-licensed Psychologist]]</f>
        <v>0</v>
      </c>
      <c r="J62" s="6">
        <f>UnitsTable[[#This Row],[LPHA (MFT  LCSW  LPCC)/ Intern or Waivered LPHA (MFT  LCSW  LPCC)]]*CodeRatesTable[[#This Row],[LPHA (MFT  LCSW  LPCC)/ Intern or Waivered LPHA (MFT  LCSW  LPCC)]]</f>
        <v>0</v>
      </c>
      <c r="K62" s="6">
        <f>UnitsTable[[#This Row],[Alcohol and Drug Counselor]]*CodeRatesTable[[#This Row],[Alcohol and Drug Counselor]]</f>
        <v>0</v>
      </c>
      <c r="L62" s="6">
        <f>UnitsTable[[#This Row],[Peer Recovery Specialist]]*CodeRatesTable[[#This Row],[Peer Recovery Specialist]]</f>
        <v>0</v>
      </c>
      <c r="M62" s="6">
        <f>SUM(RevenueTable[[#This Row],[Physicians Assistant]:[Peer Recovery Specialist]])</f>
        <v>0</v>
      </c>
    </row>
    <row r="63" spans="1:13" x14ac:dyDescent="0.25">
      <c r="A63" s="6" t="str">
        <f>INDEX(CodeMinutesTable[Frequently Used],MATCH(RevenueTable[[#This Row],[Billing Code]],CodeMinutesTable[Code],0))</f>
        <v>Yes</v>
      </c>
      <c r="B63" s="3" t="s">
        <v>157</v>
      </c>
      <c r="C63" t="s">
        <v>158</v>
      </c>
      <c r="D63" s="6">
        <f>UnitsTable[[#This Row],[Physicians Assistant]]*CodeRatesTable[[#This Row],[Physicians Assistant]]</f>
        <v>0</v>
      </c>
      <c r="E63" s="6">
        <f>UnitsTable[[#This Row],[Nurse Practitioner]]*CodeRatesTable[[#This Row],[Nurse Practitioner]]</f>
        <v>0</v>
      </c>
      <c r="F63" s="6">
        <f>UnitsTable[[#This Row],[RN]]*CodeRatesTable[[#This Row],[RN]]</f>
        <v>0</v>
      </c>
      <c r="G63" s="6">
        <f>UnitsTable[[#This Row],[Pharmacist]]*CodeRatesTable[[#This Row],[Pharmacist]]</f>
        <v>0</v>
      </c>
      <c r="H63" s="6">
        <f>UnitsTable[[#This Row],[MD (typically in SUD system of care)]]*CodeRatesTable[[#This Row],[MD (typically in SUD system of care)]]</f>
        <v>0</v>
      </c>
      <c r="I63" s="6">
        <f>UnitsTable[[#This Row],[Psychologist/Pre-licensed Psychologist]]*CodeRatesTable[[#This Row],[Psychologist/Pre-licensed Psychologist]]</f>
        <v>0</v>
      </c>
      <c r="J63" s="6">
        <f>UnitsTable[[#This Row],[LPHA (MFT  LCSW  LPCC)/ Intern or Waivered LPHA (MFT  LCSW  LPCC)]]*CodeRatesTable[[#This Row],[LPHA (MFT  LCSW  LPCC)/ Intern or Waivered LPHA (MFT  LCSW  LPCC)]]</f>
        <v>0</v>
      </c>
      <c r="K63" s="6">
        <f>UnitsTable[[#This Row],[Alcohol and Drug Counselor]]*CodeRatesTable[[#This Row],[Alcohol and Drug Counselor]]</f>
        <v>0</v>
      </c>
      <c r="L63" s="6">
        <f>UnitsTable[[#This Row],[Peer Recovery Specialist]]*CodeRatesTable[[#This Row],[Peer Recovery Specialist]]</f>
        <v>0</v>
      </c>
      <c r="M63" s="6">
        <f>SUM(RevenueTable[[#This Row],[Physicians Assistant]:[Peer Recovery Specialist]])</f>
        <v>0</v>
      </c>
    </row>
    <row r="64" spans="1:13" x14ac:dyDescent="0.25">
      <c r="A64" s="6" t="str">
        <f>INDEX(CodeMinutesTable[Frequently Used],MATCH(RevenueTable[[#This Row],[Billing Code]],CodeMinutesTable[Code],0))</f>
        <v>Yes</v>
      </c>
      <c r="B64" s="3" t="s">
        <v>159</v>
      </c>
      <c r="C64" t="s">
        <v>160</v>
      </c>
      <c r="D64" s="6">
        <f>UnitsTable[[#This Row],[Physicians Assistant]]*CodeRatesTable[[#This Row],[Physicians Assistant]]</f>
        <v>0</v>
      </c>
      <c r="E64" s="6">
        <f>UnitsTable[[#This Row],[Nurse Practitioner]]*CodeRatesTable[[#This Row],[Nurse Practitioner]]</f>
        <v>0</v>
      </c>
      <c r="F64" s="6">
        <f>UnitsTable[[#This Row],[RN]]*CodeRatesTable[[#This Row],[RN]]</f>
        <v>0</v>
      </c>
      <c r="G64" s="6">
        <f>UnitsTable[[#This Row],[Pharmacist]]*CodeRatesTable[[#This Row],[Pharmacist]]</f>
        <v>0</v>
      </c>
      <c r="H64" s="6">
        <f>UnitsTable[[#This Row],[MD (typically in SUD system of care)]]*CodeRatesTable[[#This Row],[MD (typically in SUD system of care)]]</f>
        <v>0</v>
      </c>
      <c r="I64" s="6">
        <f>UnitsTable[[#This Row],[Psychologist/Pre-licensed Psychologist]]*CodeRatesTable[[#This Row],[Psychologist/Pre-licensed Psychologist]]</f>
        <v>0</v>
      </c>
      <c r="J64" s="6">
        <f>UnitsTable[[#This Row],[LPHA (MFT  LCSW  LPCC)/ Intern or Waivered LPHA (MFT  LCSW  LPCC)]]*CodeRatesTable[[#This Row],[LPHA (MFT  LCSW  LPCC)/ Intern or Waivered LPHA (MFT  LCSW  LPCC)]]</f>
        <v>0</v>
      </c>
      <c r="K64" s="6">
        <f>UnitsTable[[#This Row],[Alcohol and Drug Counselor]]*CodeRatesTable[[#This Row],[Alcohol and Drug Counselor]]</f>
        <v>0</v>
      </c>
      <c r="L64" s="6">
        <f>UnitsTable[[#This Row],[Peer Recovery Specialist]]*CodeRatesTable[[#This Row],[Peer Recovery Specialist]]</f>
        <v>0</v>
      </c>
      <c r="M64" s="6">
        <f>SUM(RevenueTable[[#This Row],[Physicians Assistant]:[Peer Recovery Specialist]])</f>
        <v>0</v>
      </c>
    </row>
    <row r="65" spans="1:13" x14ac:dyDescent="0.25">
      <c r="A65" s="6" t="str">
        <f>INDEX(CodeMinutesTable[Frequently Used],MATCH(RevenueTable[[#This Row],[Billing Code]],CodeMinutesTable[Code],0))</f>
        <v>Yes</v>
      </c>
      <c r="B65" s="3" t="s">
        <v>161</v>
      </c>
      <c r="C65" t="s">
        <v>162</v>
      </c>
      <c r="D65" s="6">
        <f>UnitsTable[[#This Row],[Physicians Assistant]]*CodeRatesTable[[#This Row],[Physicians Assistant]]</f>
        <v>0</v>
      </c>
      <c r="E65" s="6">
        <f>UnitsTable[[#This Row],[Nurse Practitioner]]*CodeRatesTable[[#This Row],[Nurse Practitioner]]</f>
        <v>0</v>
      </c>
      <c r="F65" s="6">
        <f>UnitsTable[[#This Row],[RN]]*CodeRatesTable[[#This Row],[RN]]</f>
        <v>0</v>
      </c>
      <c r="G65" s="6">
        <f>UnitsTable[[#This Row],[Pharmacist]]*CodeRatesTable[[#This Row],[Pharmacist]]</f>
        <v>0</v>
      </c>
      <c r="H65" s="6">
        <f>UnitsTable[[#This Row],[MD (typically in SUD system of care)]]*CodeRatesTable[[#This Row],[MD (typically in SUD system of care)]]</f>
        <v>0</v>
      </c>
      <c r="I65" s="6">
        <f>UnitsTable[[#This Row],[Psychologist/Pre-licensed Psychologist]]*CodeRatesTable[[#This Row],[Psychologist/Pre-licensed Psychologist]]</f>
        <v>0</v>
      </c>
      <c r="J65" s="6">
        <f>UnitsTable[[#This Row],[LPHA (MFT  LCSW  LPCC)/ Intern or Waivered LPHA (MFT  LCSW  LPCC)]]*CodeRatesTable[[#This Row],[LPHA (MFT  LCSW  LPCC)/ Intern or Waivered LPHA (MFT  LCSW  LPCC)]]</f>
        <v>0</v>
      </c>
      <c r="K65" s="6">
        <f>UnitsTable[[#This Row],[Alcohol and Drug Counselor]]*CodeRatesTable[[#This Row],[Alcohol and Drug Counselor]]</f>
        <v>0</v>
      </c>
      <c r="L65" s="6">
        <f>UnitsTable[[#This Row],[Peer Recovery Specialist]]*CodeRatesTable[[#This Row],[Peer Recovery Specialist]]</f>
        <v>0</v>
      </c>
      <c r="M65" s="6">
        <f>SUM(RevenueTable[[#This Row],[Physicians Assistant]:[Peer Recovery Specialist]])</f>
        <v>0</v>
      </c>
    </row>
    <row r="66" spans="1:13" x14ac:dyDescent="0.25">
      <c r="A66" s="6" t="str">
        <f>INDEX(CodeMinutesTable[Frequently Used],MATCH(RevenueTable[[#This Row],[Billing Code]],CodeMinutesTable[Code],0))</f>
        <v>Yes</v>
      </c>
      <c r="B66" s="3" t="s">
        <v>163</v>
      </c>
      <c r="C66" t="s">
        <v>164</v>
      </c>
      <c r="D66" s="6">
        <f>UnitsTable[[#This Row],[Physicians Assistant]]*CodeRatesTable[[#This Row],[Physicians Assistant]]</f>
        <v>0</v>
      </c>
      <c r="E66" s="6">
        <f>UnitsTable[[#This Row],[Nurse Practitioner]]*CodeRatesTable[[#This Row],[Nurse Practitioner]]</f>
        <v>0</v>
      </c>
      <c r="F66" s="6">
        <f>UnitsTable[[#This Row],[RN]]*CodeRatesTable[[#This Row],[RN]]</f>
        <v>0</v>
      </c>
      <c r="G66" s="6">
        <f>UnitsTable[[#This Row],[Pharmacist]]*CodeRatesTable[[#This Row],[Pharmacist]]</f>
        <v>0</v>
      </c>
      <c r="H66" s="6">
        <f>UnitsTable[[#This Row],[MD (typically in SUD system of care)]]*CodeRatesTable[[#This Row],[MD (typically in SUD system of care)]]</f>
        <v>0</v>
      </c>
      <c r="I66" s="6">
        <f>UnitsTable[[#This Row],[Psychologist/Pre-licensed Psychologist]]*CodeRatesTable[[#This Row],[Psychologist/Pre-licensed Psychologist]]</f>
        <v>0</v>
      </c>
      <c r="J66" s="6">
        <f>UnitsTable[[#This Row],[LPHA (MFT  LCSW  LPCC)/ Intern or Waivered LPHA (MFT  LCSW  LPCC)]]*CodeRatesTable[[#This Row],[LPHA (MFT  LCSW  LPCC)/ Intern or Waivered LPHA (MFT  LCSW  LPCC)]]</f>
        <v>0</v>
      </c>
      <c r="K66" s="6">
        <f>UnitsTable[[#This Row],[Alcohol and Drug Counselor]]*CodeRatesTable[[#This Row],[Alcohol and Drug Counselor]]</f>
        <v>0</v>
      </c>
      <c r="L66" s="6">
        <f>UnitsTable[[#This Row],[Peer Recovery Specialist]]*CodeRatesTable[[#This Row],[Peer Recovery Specialist]]</f>
        <v>0</v>
      </c>
      <c r="M66" s="6">
        <f>SUM(RevenueTable[[#This Row],[Physicians Assistant]:[Peer Recovery Specialist]])</f>
        <v>0</v>
      </c>
    </row>
    <row r="67" spans="1:13" x14ac:dyDescent="0.25">
      <c r="A67" s="6" t="str">
        <f>INDEX(CodeMinutesTable[Frequently Used],MATCH(RevenueTable[[#This Row],[Billing Code]],CodeMinutesTable[Code],0))</f>
        <v>Yes</v>
      </c>
      <c r="B67" s="3" t="s">
        <v>165</v>
      </c>
      <c r="C67" t="s">
        <v>166</v>
      </c>
      <c r="D67" s="6">
        <f>UnitsTable[[#This Row],[Physicians Assistant]]*CodeRatesTable[[#This Row],[Physicians Assistant]]</f>
        <v>0</v>
      </c>
      <c r="E67" s="6">
        <f>UnitsTable[[#This Row],[Nurse Practitioner]]*CodeRatesTable[[#This Row],[Nurse Practitioner]]</f>
        <v>0</v>
      </c>
      <c r="F67" s="6">
        <f>UnitsTable[[#This Row],[RN]]*CodeRatesTable[[#This Row],[RN]]</f>
        <v>0</v>
      </c>
      <c r="G67" s="6">
        <f>UnitsTable[[#This Row],[Pharmacist]]*CodeRatesTable[[#This Row],[Pharmacist]]</f>
        <v>0</v>
      </c>
      <c r="H67" s="6">
        <f>UnitsTable[[#This Row],[MD (typically in SUD system of care)]]*CodeRatesTable[[#This Row],[MD (typically in SUD system of care)]]</f>
        <v>0</v>
      </c>
      <c r="I67" s="6">
        <f>UnitsTable[[#This Row],[Psychologist/Pre-licensed Psychologist]]*CodeRatesTable[[#This Row],[Psychologist/Pre-licensed Psychologist]]</f>
        <v>0</v>
      </c>
      <c r="J67" s="6">
        <f>UnitsTable[[#This Row],[LPHA (MFT  LCSW  LPCC)/ Intern or Waivered LPHA (MFT  LCSW  LPCC)]]*CodeRatesTable[[#This Row],[LPHA (MFT  LCSW  LPCC)/ Intern or Waivered LPHA (MFT  LCSW  LPCC)]]</f>
        <v>0</v>
      </c>
      <c r="K67" s="6">
        <f>UnitsTable[[#This Row],[Alcohol and Drug Counselor]]*CodeRatesTable[[#This Row],[Alcohol and Drug Counselor]]</f>
        <v>0</v>
      </c>
      <c r="L67" s="6">
        <f>UnitsTable[[#This Row],[Peer Recovery Specialist]]*CodeRatesTable[[#This Row],[Peer Recovery Specialist]]</f>
        <v>0</v>
      </c>
      <c r="M67" s="6">
        <f>SUM(RevenueTable[[#This Row],[Physicians Assistant]:[Peer Recovery Specialist]])</f>
        <v>0</v>
      </c>
    </row>
    <row r="68" spans="1:13" hidden="1" x14ac:dyDescent="0.25">
      <c r="A68" s="6" t="str">
        <f>INDEX(CodeMinutesTable[Frequently Used],MATCH(RevenueTable[[#This Row],[Billing Code]],CodeMinutesTable[Code],0))</f>
        <v>No</v>
      </c>
      <c r="B68" s="3" t="s">
        <v>167</v>
      </c>
      <c r="C68" t="s">
        <v>168</v>
      </c>
      <c r="D68" s="6">
        <f>UnitsTable[[#This Row],[Physicians Assistant]]*CodeRatesTable[[#This Row],[Physicians Assistant]]</f>
        <v>0</v>
      </c>
      <c r="E68" s="6">
        <f>UnitsTable[[#This Row],[Nurse Practitioner]]*CodeRatesTable[[#This Row],[Nurse Practitioner]]</f>
        <v>0</v>
      </c>
      <c r="F68" s="6">
        <f>UnitsTable[[#This Row],[RN]]*CodeRatesTable[[#This Row],[RN]]</f>
        <v>0</v>
      </c>
      <c r="G68" s="6">
        <f>UnitsTable[[#This Row],[Pharmacist]]*CodeRatesTable[[#This Row],[Pharmacist]]</f>
        <v>0</v>
      </c>
      <c r="H68" s="6">
        <f>UnitsTable[[#This Row],[MD (typically in SUD system of care)]]*CodeRatesTable[[#This Row],[MD (typically in SUD system of care)]]</f>
        <v>0</v>
      </c>
      <c r="I68" s="6">
        <f>UnitsTable[[#This Row],[Psychologist/Pre-licensed Psychologist]]*CodeRatesTable[[#This Row],[Psychologist/Pre-licensed Psychologist]]</f>
        <v>0</v>
      </c>
      <c r="J68" s="6">
        <f>UnitsTable[[#This Row],[LPHA (MFT  LCSW  LPCC)/ Intern or Waivered LPHA (MFT  LCSW  LPCC)]]*CodeRatesTable[[#This Row],[LPHA (MFT  LCSW  LPCC)/ Intern or Waivered LPHA (MFT  LCSW  LPCC)]]</f>
        <v>0</v>
      </c>
      <c r="K68" s="6">
        <f>UnitsTable[[#This Row],[Alcohol and Drug Counselor]]*CodeRatesTable[[#This Row],[Alcohol and Drug Counselor]]</f>
        <v>0</v>
      </c>
      <c r="L68" s="6">
        <f>UnitsTable[[#This Row],[Peer Recovery Specialist]]*CodeRatesTable[[#This Row],[Peer Recovery Specialist]]</f>
        <v>0</v>
      </c>
      <c r="M68" s="6">
        <f>SUM(RevenueTable[[#This Row],[Physicians Assistant]:[Peer Recovery Specialist]])</f>
        <v>0</v>
      </c>
    </row>
    <row r="69" spans="1:13" hidden="1" x14ac:dyDescent="0.25">
      <c r="A69" s="6" t="str">
        <f>INDEX(CodeMinutesTable[Frequently Used],MATCH(RevenueTable[[#This Row],[Billing Code]],CodeMinutesTable[Code],0))</f>
        <v>No</v>
      </c>
      <c r="B69" s="3" t="s">
        <v>169</v>
      </c>
      <c r="C69" t="s">
        <v>170</v>
      </c>
      <c r="D69" s="6">
        <f>UnitsTable[[#This Row],[Physicians Assistant]]*CodeRatesTable[[#This Row],[Physicians Assistant]]</f>
        <v>0</v>
      </c>
      <c r="E69" s="6">
        <f>UnitsTable[[#This Row],[Nurse Practitioner]]*CodeRatesTable[[#This Row],[Nurse Practitioner]]</f>
        <v>0</v>
      </c>
      <c r="F69" s="6">
        <f>UnitsTable[[#This Row],[RN]]*CodeRatesTable[[#This Row],[RN]]</f>
        <v>0</v>
      </c>
      <c r="G69" s="6">
        <f>UnitsTable[[#This Row],[Pharmacist]]*CodeRatesTable[[#This Row],[Pharmacist]]</f>
        <v>0</v>
      </c>
      <c r="H69" s="6">
        <f>UnitsTable[[#This Row],[MD (typically in SUD system of care)]]*CodeRatesTable[[#This Row],[MD (typically in SUD system of care)]]</f>
        <v>0</v>
      </c>
      <c r="I69" s="6">
        <f>UnitsTable[[#This Row],[Psychologist/Pre-licensed Psychologist]]*CodeRatesTable[[#This Row],[Psychologist/Pre-licensed Psychologist]]</f>
        <v>0</v>
      </c>
      <c r="J69" s="6">
        <f>UnitsTable[[#This Row],[LPHA (MFT  LCSW  LPCC)/ Intern or Waivered LPHA (MFT  LCSW  LPCC)]]*CodeRatesTable[[#This Row],[LPHA (MFT  LCSW  LPCC)/ Intern or Waivered LPHA (MFT  LCSW  LPCC)]]</f>
        <v>0</v>
      </c>
      <c r="K69" s="6">
        <f>UnitsTable[[#This Row],[Alcohol and Drug Counselor]]*CodeRatesTable[[#This Row],[Alcohol and Drug Counselor]]</f>
        <v>0</v>
      </c>
      <c r="L69" s="6">
        <f>UnitsTable[[#This Row],[Peer Recovery Specialist]]*CodeRatesTable[[#This Row],[Peer Recovery Specialist]]</f>
        <v>0</v>
      </c>
      <c r="M69" s="6">
        <f>SUM(RevenueTable[[#This Row],[Physicians Assistant]:[Peer Recovery Specialist]])</f>
        <v>0</v>
      </c>
    </row>
    <row r="70" spans="1:13" x14ac:dyDescent="0.25">
      <c r="A70" s="6" t="str">
        <f>INDEX(CodeMinutesTable[Frequently Used],MATCH(RevenueTable[[#This Row],[Billing Code]],CodeMinutesTable[Code],0))</f>
        <v>Yes</v>
      </c>
      <c r="B70" s="3" t="s">
        <v>171</v>
      </c>
      <c r="C70" t="s">
        <v>172</v>
      </c>
      <c r="D70" s="6">
        <f>UnitsTable[[#This Row],[Physicians Assistant]]*CodeRatesTable[[#This Row],[Physicians Assistant]]</f>
        <v>0</v>
      </c>
      <c r="E70" s="6">
        <f>UnitsTable[[#This Row],[Nurse Practitioner]]*CodeRatesTable[[#This Row],[Nurse Practitioner]]</f>
        <v>0</v>
      </c>
      <c r="F70" s="6">
        <f>UnitsTable[[#This Row],[RN]]*CodeRatesTable[[#This Row],[RN]]</f>
        <v>0</v>
      </c>
      <c r="G70" s="6">
        <f>UnitsTable[[#This Row],[Pharmacist]]*CodeRatesTable[[#This Row],[Pharmacist]]</f>
        <v>0</v>
      </c>
      <c r="H70" s="6">
        <f>UnitsTable[[#This Row],[MD (typically in SUD system of care)]]*CodeRatesTable[[#This Row],[MD (typically in SUD system of care)]]</f>
        <v>0</v>
      </c>
      <c r="I70" s="6">
        <f>UnitsTable[[#This Row],[Psychologist/Pre-licensed Psychologist]]*CodeRatesTable[[#This Row],[Psychologist/Pre-licensed Psychologist]]</f>
        <v>0</v>
      </c>
      <c r="J70" s="6">
        <f>UnitsTable[[#This Row],[LPHA (MFT  LCSW  LPCC)/ Intern or Waivered LPHA (MFT  LCSW  LPCC)]]*CodeRatesTable[[#This Row],[LPHA (MFT  LCSW  LPCC)/ Intern or Waivered LPHA (MFT  LCSW  LPCC)]]</f>
        <v>0</v>
      </c>
      <c r="K70" s="6">
        <f>UnitsTable[[#This Row],[Alcohol and Drug Counselor]]*CodeRatesTable[[#This Row],[Alcohol and Drug Counselor]]</f>
        <v>0</v>
      </c>
      <c r="L70" s="6">
        <f>UnitsTable[[#This Row],[Peer Recovery Specialist]]*CodeRatesTable[[#This Row],[Peer Recovery Specialist]]</f>
        <v>0</v>
      </c>
      <c r="M70" s="6">
        <f>SUM(RevenueTable[[#This Row],[Physicians Assistant]:[Peer Recovery Specialist]])</f>
        <v>0</v>
      </c>
    </row>
    <row r="71" spans="1:13" x14ac:dyDescent="0.25">
      <c r="A71" s="6" t="str">
        <f>INDEX(CodeMinutesTable[Frequently Used],MATCH(RevenueTable[[#This Row],[Billing Code]],CodeMinutesTable[Code],0))</f>
        <v>Yes</v>
      </c>
      <c r="B71" s="3" t="s">
        <v>173</v>
      </c>
      <c r="C71" t="s">
        <v>174</v>
      </c>
      <c r="D71" s="6">
        <f>UnitsTable[[#This Row],[Physicians Assistant]]*CodeRatesTable[[#This Row],[Physicians Assistant]]</f>
        <v>0</v>
      </c>
      <c r="E71" s="6">
        <f>UnitsTable[[#This Row],[Nurse Practitioner]]*CodeRatesTable[[#This Row],[Nurse Practitioner]]</f>
        <v>0</v>
      </c>
      <c r="F71" s="6">
        <f>UnitsTable[[#This Row],[RN]]*CodeRatesTable[[#This Row],[RN]]</f>
        <v>0</v>
      </c>
      <c r="G71" s="6">
        <f>UnitsTable[[#This Row],[Pharmacist]]*CodeRatesTable[[#This Row],[Pharmacist]]</f>
        <v>0</v>
      </c>
      <c r="H71" s="6">
        <f>UnitsTable[[#This Row],[MD (typically in SUD system of care)]]*CodeRatesTable[[#This Row],[MD (typically in SUD system of care)]]</f>
        <v>0</v>
      </c>
      <c r="I71" s="6">
        <f>UnitsTable[[#This Row],[Psychologist/Pre-licensed Psychologist]]*CodeRatesTable[[#This Row],[Psychologist/Pre-licensed Psychologist]]</f>
        <v>0</v>
      </c>
      <c r="J71" s="6">
        <f>UnitsTable[[#This Row],[LPHA (MFT  LCSW  LPCC)/ Intern or Waivered LPHA (MFT  LCSW  LPCC)]]*CodeRatesTable[[#This Row],[LPHA (MFT  LCSW  LPCC)/ Intern or Waivered LPHA (MFT  LCSW  LPCC)]]</f>
        <v>0</v>
      </c>
      <c r="K71" s="6">
        <f>UnitsTable[[#This Row],[Alcohol and Drug Counselor]]*CodeRatesTable[[#This Row],[Alcohol and Drug Counselor]]</f>
        <v>0</v>
      </c>
      <c r="L71" s="6">
        <f>UnitsTable[[#This Row],[Peer Recovery Specialist]]*CodeRatesTable[[#This Row],[Peer Recovery Specialist]]</f>
        <v>0</v>
      </c>
      <c r="M71" s="6">
        <f>SUM(RevenueTable[[#This Row],[Physicians Assistant]:[Peer Recovery Specialist]])</f>
        <v>0</v>
      </c>
    </row>
    <row r="72" spans="1:13" x14ac:dyDescent="0.25">
      <c r="A72" s="6" t="str">
        <f>INDEX(CodeMinutesTable[Frequently Used],MATCH(RevenueTable[[#This Row],[Billing Code]],CodeMinutesTable[Code],0))</f>
        <v>Yes</v>
      </c>
      <c r="B72" s="3" t="s">
        <v>175</v>
      </c>
      <c r="C72" t="s">
        <v>176</v>
      </c>
      <c r="D72" s="6">
        <f>UnitsTable[[#This Row],[Physicians Assistant]]*CodeRatesTable[[#This Row],[Physicians Assistant]]</f>
        <v>0</v>
      </c>
      <c r="E72" s="6">
        <f>UnitsTable[[#This Row],[Nurse Practitioner]]*CodeRatesTable[[#This Row],[Nurse Practitioner]]</f>
        <v>0</v>
      </c>
      <c r="F72" s="6">
        <f>UnitsTable[[#This Row],[RN]]*CodeRatesTable[[#This Row],[RN]]</f>
        <v>0</v>
      </c>
      <c r="G72" s="6">
        <f>UnitsTable[[#This Row],[Pharmacist]]*CodeRatesTable[[#This Row],[Pharmacist]]</f>
        <v>0</v>
      </c>
      <c r="H72" s="6">
        <f>UnitsTable[[#This Row],[MD (typically in SUD system of care)]]*CodeRatesTable[[#This Row],[MD (typically in SUD system of care)]]</f>
        <v>0</v>
      </c>
      <c r="I72" s="6">
        <f>UnitsTable[[#This Row],[Psychologist/Pre-licensed Psychologist]]*CodeRatesTable[[#This Row],[Psychologist/Pre-licensed Psychologist]]</f>
        <v>0</v>
      </c>
      <c r="J72" s="6">
        <f>UnitsTable[[#This Row],[LPHA (MFT  LCSW  LPCC)/ Intern or Waivered LPHA (MFT  LCSW  LPCC)]]*CodeRatesTable[[#This Row],[LPHA (MFT  LCSW  LPCC)/ Intern or Waivered LPHA (MFT  LCSW  LPCC)]]</f>
        <v>0</v>
      </c>
      <c r="K72" s="6">
        <f>UnitsTable[[#This Row],[Alcohol and Drug Counselor]]*CodeRatesTable[[#This Row],[Alcohol and Drug Counselor]]</f>
        <v>0</v>
      </c>
      <c r="L72" s="6">
        <f>UnitsTable[[#This Row],[Peer Recovery Specialist]]*CodeRatesTable[[#This Row],[Peer Recovery Specialist]]</f>
        <v>0</v>
      </c>
      <c r="M72" s="6">
        <f>SUM(RevenueTable[[#This Row],[Physicians Assistant]:[Peer Recovery Specialist]])</f>
        <v>0</v>
      </c>
    </row>
    <row r="73" spans="1:13" hidden="1" x14ac:dyDescent="0.25">
      <c r="A73" s="6" t="str">
        <f>INDEX(CodeMinutesTable[Frequently Used],MATCH(RevenueTable[[#This Row],[Billing Code]],CodeMinutesTable[Code],0))</f>
        <v>No</v>
      </c>
      <c r="B73" s="3" t="s">
        <v>177</v>
      </c>
      <c r="C73" t="s">
        <v>178</v>
      </c>
      <c r="D73" s="6">
        <f>UnitsTable[[#This Row],[Physicians Assistant]]*CodeRatesTable[[#This Row],[Physicians Assistant]]</f>
        <v>0</v>
      </c>
      <c r="E73" s="6">
        <f>UnitsTable[[#This Row],[Nurse Practitioner]]*CodeRatesTable[[#This Row],[Nurse Practitioner]]</f>
        <v>0</v>
      </c>
      <c r="F73" s="6">
        <f>UnitsTable[[#This Row],[RN]]*CodeRatesTable[[#This Row],[RN]]</f>
        <v>0</v>
      </c>
      <c r="G73" s="6">
        <f>UnitsTable[[#This Row],[Pharmacist]]*CodeRatesTable[[#This Row],[Pharmacist]]</f>
        <v>0</v>
      </c>
      <c r="H73" s="6">
        <f>UnitsTable[[#This Row],[MD (typically in SUD system of care)]]*CodeRatesTable[[#This Row],[MD (typically in SUD system of care)]]</f>
        <v>0</v>
      </c>
      <c r="I73" s="6">
        <f>UnitsTable[[#This Row],[Psychologist/Pre-licensed Psychologist]]*CodeRatesTable[[#This Row],[Psychologist/Pre-licensed Psychologist]]</f>
        <v>0</v>
      </c>
      <c r="J73" s="6">
        <f>UnitsTable[[#This Row],[LPHA (MFT  LCSW  LPCC)/ Intern or Waivered LPHA (MFT  LCSW  LPCC)]]*CodeRatesTable[[#This Row],[LPHA (MFT  LCSW  LPCC)/ Intern or Waivered LPHA (MFT  LCSW  LPCC)]]</f>
        <v>0</v>
      </c>
      <c r="K73" s="6">
        <f>UnitsTable[[#This Row],[Alcohol and Drug Counselor]]*CodeRatesTable[[#This Row],[Alcohol and Drug Counselor]]</f>
        <v>0</v>
      </c>
      <c r="L73" s="6">
        <f>UnitsTable[[#This Row],[Peer Recovery Specialist]]*CodeRatesTable[[#This Row],[Peer Recovery Specialist]]</f>
        <v>0</v>
      </c>
      <c r="M73" s="6">
        <f>SUM(RevenueTable[[#This Row],[Physicians Assistant]:[Peer Recovery Specialist]])</f>
        <v>0</v>
      </c>
    </row>
    <row r="74" spans="1:13" x14ac:dyDescent="0.25">
      <c r="A74" s="6" t="str">
        <f>INDEX(CodeMinutesTable[Frequently Used],MATCH(RevenueTable[[#This Row],[Billing Code]],CodeMinutesTable[Code],0))</f>
        <v>Yes</v>
      </c>
      <c r="B74" s="3" t="s">
        <v>179</v>
      </c>
      <c r="C74" t="s">
        <v>180</v>
      </c>
      <c r="D74" s="6">
        <f>UnitsTable[[#This Row],[Physicians Assistant]]*CodeRatesTable[[#This Row],[Physicians Assistant]]</f>
        <v>0</v>
      </c>
      <c r="E74" s="6">
        <f>UnitsTable[[#This Row],[Nurse Practitioner]]*CodeRatesTable[[#This Row],[Nurse Practitioner]]</f>
        <v>0</v>
      </c>
      <c r="F74" s="6">
        <f>UnitsTable[[#This Row],[RN]]*CodeRatesTable[[#This Row],[RN]]</f>
        <v>0</v>
      </c>
      <c r="G74" s="6">
        <f>UnitsTable[[#This Row],[Pharmacist]]*CodeRatesTable[[#This Row],[Pharmacist]]</f>
        <v>0</v>
      </c>
      <c r="H74" s="6">
        <f>UnitsTable[[#This Row],[MD (typically in SUD system of care)]]*CodeRatesTable[[#This Row],[MD (typically in SUD system of care)]]</f>
        <v>0</v>
      </c>
      <c r="I74" s="6">
        <f>UnitsTable[[#This Row],[Psychologist/Pre-licensed Psychologist]]*CodeRatesTable[[#This Row],[Psychologist/Pre-licensed Psychologist]]</f>
        <v>0</v>
      </c>
      <c r="J74" s="6">
        <f>UnitsTable[[#This Row],[LPHA (MFT  LCSW  LPCC)/ Intern or Waivered LPHA (MFT  LCSW  LPCC)]]*CodeRatesTable[[#This Row],[LPHA (MFT  LCSW  LPCC)/ Intern or Waivered LPHA (MFT  LCSW  LPCC)]]</f>
        <v>0</v>
      </c>
      <c r="K74" s="6">
        <f>UnitsTable[[#This Row],[Alcohol and Drug Counselor]]*CodeRatesTable[[#This Row],[Alcohol and Drug Counselor]]</f>
        <v>0</v>
      </c>
      <c r="L74" s="6">
        <f>UnitsTable[[#This Row],[Peer Recovery Specialist]]*CodeRatesTable[[#This Row],[Peer Recovery Specialist]]</f>
        <v>0</v>
      </c>
      <c r="M74" s="6">
        <f>SUM(RevenueTable[[#This Row],[Physicians Assistant]:[Peer Recovery Specialist]])</f>
        <v>0</v>
      </c>
    </row>
    <row r="75" spans="1:13" x14ac:dyDescent="0.25">
      <c r="A75" s="6" t="str">
        <f>INDEX(CodeMinutesTable[Frequently Used],MATCH(RevenueTable[[#This Row],[Billing Code]],CodeMinutesTable[Code],0))</f>
        <v>Yes</v>
      </c>
      <c r="B75" s="3" t="s">
        <v>181</v>
      </c>
      <c r="C75" t="s">
        <v>182</v>
      </c>
      <c r="D75" s="6">
        <f>UnitsTable[[#This Row],[Physicians Assistant]]*CodeRatesTable[[#This Row],[Physicians Assistant]]</f>
        <v>0</v>
      </c>
      <c r="E75" s="6">
        <f>UnitsTable[[#This Row],[Nurse Practitioner]]*CodeRatesTable[[#This Row],[Nurse Practitioner]]</f>
        <v>0</v>
      </c>
      <c r="F75" s="6">
        <f>UnitsTable[[#This Row],[RN]]*CodeRatesTable[[#This Row],[RN]]</f>
        <v>0</v>
      </c>
      <c r="G75" s="6">
        <f>UnitsTable[[#This Row],[Pharmacist]]*CodeRatesTable[[#This Row],[Pharmacist]]</f>
        <v>0</v>
      </c>
      <c r="H75" s="6">
        <f>UnitsTable[[#This Row],[MD (typically in SUD system of care)]]*CodeRatesTable[[#This Row],[MD (typically in SUD system of care)]]</f>
        <v>0</v>
      </c>
      <c r="I75" s="6">
        <f>UnitsTable[[#This Row],[Psychologist/Pre-licensed Psychologist]]*CodeRatesTable[[#This Row],[Psychologist/Pre-licensed Psychologist]]</f>
        <v>0</v>
      </c>
      <c r="J75" s="6">
        <f>UnitsTable[[#This Row],[LPHA (MFT  LCSW  LPCC)/ Intern or Waivered LPHA (MFT  LCSW  LPCC)]]*CodeRatesTable[[#This Row],[LPHA (MFT  LCSW  LPCC)/ Intern or Waivered LPHA (MFT  LCSW  LPCC)]]</f>
        <v>0</v>
      </c>
      <c r="K75" s="6">
        <f>UnitsTable[[#This Row],[Alcohol and Drug Counselor]]*CodeRatesTable[[#This Row],[Alcohol and Drug Counselor]]</f>
        <v>0</v>
      </c>
      <c r="L75" s="6">
        <f>UnitsTable[[#This Row],[Peer Recovery Specialist]]*CodeRatesTable[[#This Row],[Peer Recovery Specialist]]</f>
        <v>0</v>
      </c>
      <c r="M75" s="6">
        <f>SUM(RevenueTable[[#This Row],[Physicians Assistant]:[Peer Recovery Specialist]])</f>
        <v>0</v>
      </c>
    </row>
    <row r="76" spans="1:13" hidden="1" x14ac:dyDescent="0.25">
      <c r="A76" s="6" t="str">
        <f>INDEX(CodeMinutesTable[Frequently Used],MATCH(RevenueTable[[#This Row],[Billing Code]],CodeMinutesTable[Code],0))</f>
        <v>No</v>
      </c>
      <c r="B76" s="3" t="s">
        <v>183</v>
      </c>
      <c r="C76" t="s">
        <v>184</v>
      </c>
      <c r="D76" s="6">
        <f>UnitsTable[[#This Row],[Physicians Assistant]]*CodeRatesTable[[#This Row],[Physicians Assistant]]</f>
        <v>0</v>
      </c>
      <c r="E76" s="6">
        <f>UnitsTable[[#This Row],[Nurse Practitioner]]*CodeRatesTable[[#This Row],[Nurse Practitioner]]</f>
        <v>0</v>
      </c>
      <c r="F76" s="6">
        <f>UnitsTable[[#This Row],[RN]]*CodeRatesTable[[#This Row],[RN]]</f>
        <v>0</v>
      </c>
      <c r="G76" s="6">
        <f>UnitsTable[[#This Row],[Pharmacist]]*CodeRatesTable[[#This Row],[Pharmacist]]</f>
        <v>0</v>
      </c>
      <c r="H76" s="6">
        <f>UnitsTable[[#This Row],[MD (typically in SUD system of care)]]*CodeRatesTable[[#This Row],[MD (typically in SUD system of care)]]</f>
        <v>0</v>
      </c>
      <c r="I76" s="6">
        <f>UnitsTable[[#This Row],[Psychologist/Pre-licensed Psychologist]]*CodeRatesTable[[#This Row],[Psychologist/Pre-licensed Psychologist]]</f>
        <v>0</v>
      </c>
      <c r="J76" s="6">
        <f>UnitsTable[[#This Row],[LPHA (MFT  LCSW  LPCC)/ Intern or Waivered LPHA (MFT  LCSW  LPCC)]]*CodeRatesTable[[#This Row],[LPHA (MFT  LCSW  LPCC)/ Intern or Waivered LPHA (MFT  LCSW  LPCC)]]</f>
        <v>0</v>
      </c>
      <c r="K76" s="6">
        <f>UnitsTable[[#This Row],[Alcohol and Drug Counselor]]*CodeRatesTable[[#This Row],[Alcohol and Drug Counselor]]</f>
        <v>0</v>
      </c>
      <c r="L76" s="6">
        <f>UnitsTable[[#This Row],[Peer Recovery Specialist]]*CodeRatesTable[[#This Row],[Peer Recovery Specialist]]</f>
        <v>0</v>
      </c>
      <c r="M76" s="6">
        <f>SUM(RevenueTable[[#This Row],[Physicians Assistant]:[Peer Recovery Specialist]])</f>
        <v>0</v>
      </c>
    </row>
    <row r="77" spans="1:13" x14ac:dyDescent="0.25">
      <c r="A77" s="6" t="str">
        <f>INDEX(CodeMinutesTable[Frequently Used],MATCH(RevenueTable[[#This Row],[Billing Code]],CodeMinutesTable[Code],0))</f>
        <v>Yes</v>
      </c>
      <c r="B77" s="3" t="s">
        <v>185</v>
      </c>
      <c r="C77" t="s">
        <v>186</v>
      </c>
      <c r="D77" s="6">
        <f>UnitsTable[[#This Row],[Physicians Assistant]]*CodeRatesTable[[#This Row],[Physicians Assistant]]</f>
        <v>0</v>
      </c>
      <c r="E77" s="6">
        <f>UnitsTable[[#This Row],[Nurse Practitioner]]*CodeRatesTable[[#This Row],[Nurse Practitioner]]</f>
        <v>0</v>
      </c>
      <c r="F77" s="6">
        <f>UnitsTable[[#This Row],[RN]]*CodeRatesTable[[#This Row],[RN]]</f>
        <v>0</v>
      </c>
      <c r="G77" s="6">
        <f>UnitsTable[[#This Row],[Pharmacist]]*CodeRatesTable[[#This Row],[Pharmacist]]</f>
        <v>0</v>
      </c>
      <c r="H77" s="6">
        <f>UnitsTable[[#This Row],[MD (typically in SUD system of care)]]*CodeRatesTable[[#This Row],[MD (typically in SUD system of care)]]</f>
        <v>0</v>
      </c>
      <c r="I77" s="6">
        <f>UnitsTable[[#This Row],[Psychologist/Pre-licensed Psychologist]]*CodeRatesTable[[#This Row],[Psychologist/Pre-licensed Psychologist]]</f>
        <v>0</v>
      </c>
      <c r="J77" s="6">
        <f>UnitsTable[[#This Row],[LPHA (MFT  LCSW  LPCC)/ Intern or Waivered LPHA (MFT  LCSW  LPCC)]]*CodeRatesTable[[#This Row],[LPHA (MFT  LCSW  LPCC)/ Intern or Waivered LPHA (MFT  LCSW  LPCC)]]</f>
        <v>0</v>
      </c>
      <c r="K77" s="6">
        <f>UnitsTable[[#This Row],[Alcohol and Drug Counselor]]*CodeRatesTable[[#This Row],[Alcohol and Drug Counselor]]</f>
        <v>0</v>
      </c>
      <c r="L77" s="6">
        <f>UnitsTable[[#This Row],[Peer Recovery Specialist]]*CodeRatesTable[[#This Row],[Peer Recovery Specialist]]</f>
        <v>0</v>
      </c>
      <c r="M77" s="6">
        <f>SUM(RevenueTable[[#This Row],[Physicians Assistant]:[Peer Recovery Specialist]])</f>
        <v>0</v>
      </c>
    </row>
    <row r="78" spans="1:13" x14ac:dyDescent="0.25">
      <c r="A78" s="6" t="str">
        <f>INDEX(CodeMinutesTable[Frequently Used],MATCH(RevenueTable[[#This Row],[Billing Code]],CodeMinutesTable[Code],0))</f>
        <v>Yes</v>
      </c>
      <c r="B78" s="3" t="s">
        <v>187</v>
      </c>
      <c r="C78" t="s">
        <v>188</v>
      </c>
      <c r="D78" s="6">
        <f>UnitsTable[[#This Row],[Physicians Assistant]]*CodeRatesTable[[#This Row],[Physicians Assistant]]</f>
        <v>0</v>
      </c>
      <c r="E78" s="6">
        <f>UnitsTable[[#This Row],[Nurse Practitioner]]*CodeRatesTable[[#This Row],[Nurse Practitioner]]</f>
        <v>0</v>
      </c>
      <c r="F78" s="6">
        <f>UnitsTable[[#This Row],[RN]]*CodeRatesTable[[#This Row],[RN]]</f>
        <v>0</v>
      </c>
      <c r="G78" s="6">
        <f>UnitsTable[[#This Row],[Pharmacist]]*CodeRatesTable[[#This Row],[Pharmacist]]</f>
        <v>0</v>
      </c>
      <c r="H78" s="6">
        <f>UnitsTable[[#This Row],[MD (typically in SUD system of care)]]*CodeRatesTable[[#This Row],[MD (typically in SUD system of care)]]</f>
        <v>0</v>
      </c>
      <c r="I78" s="6">
        <f>UnitsTable[[#This Row],[Psychologist/Pre-licensed Psychologist]]*CodeRatesTable[[#This Row],[Psychologist/Pre-licensed Psychologist]]</f>
        <v>0</v>
      </c>
      <c r="J78" s="6">
        <f>UnitsTable[[#This Row],[LPHA (MFT  LCSW  LPCC)/ Intern or Waivered LPHA (MFT  LCSW  LPCC)]]*CodeRatesTable[[#This Row],[LPHA (MFT  LCSW  LPCC)/ Intern or Waivered LPHA (MFT  LCSW  LPCC)]]</f>
        <v>0</v>
      </c>
      <c r="K78" s="6">
        <f>UnitsTable[[#This Row],[Alcohol and Drug Counselor]]*CodeRatesTable[[#This Row],[Alcohol and Drug Counselor]]</f>
        <v>0</v>
      </c>
      <c r="L78" s="6">
        <f>UnitsTable[[#This Row],[Peer Recovery Specialist]]*CodeRatesTable[[#This Row],[Peer Recovery Specialist]]</f>
        <v>0</v>
      </c>
      <c r="M78" s="6">
        <f>SUM(RevenueTable[[#This Row],[Physicians Assistant]:[Peer Recovery Specialist]])</f>
        <v>0</v>
      </c>
    </row>
    <row r="79" spans="1:13" x14ac:dyDescent="0.25">
      <c r="A79" s="6" t="str">
        <f>INDEX(CodeMinutesTable[Frequently Used],MATCH(RevenueTable[[#This Row],[Billing Code]],CodeMinutesTable[Code],0))</f>
        <v>Yes</v>
      </c>
      <c r="B79" s="3" t="s">
        <v>189</v>
      </c>
      <c r="C79" t="s">
        <v>190</v>
      </c>
      <c r="D79" s="6">
        <f>UnitsTable[[#This Row],[Physicians Assistant]]*CodeRatesTable[[#This Row],[Physicians Assistant]]</f>
        <v>0</v>
      </c>
      <c r="E79" s="6">
        <f>UnitsTable[[#This Row],[Nurse Practitioner]]*CodeRatesTable[[#This Row],[Nurse Practitioner]]</f>
        <v>0</v>
      </c>
      <c r="F79" s="6">
        <f>UnitsTable[[#This Row],[RN]]*CodeRatesTable[[#This Row],[RN]]</f>
        <v>0</v>
      </c>
      <c r="G79" s="6">
        <f>UnitsTable[[#This Row],[Pharmacist]]*CodeRatesTable[[#This Row],[Pharmacist]]</f>
        <v>0</v>
      </c>
      <c r="H79" s="6">
        <f>UnitsTable[[#This Row],[MD (typically in SUD system of care)]]*CodeRatesTable[[#This Row],[MD (typically in SUD system of care)]]</f>
        <v>0</v>
      </c>
      <c r="I79" s="6">
        <f>UnitsTable[[#This Row],[Psychologist/Pre-licensed Psychologist]]*CodeRatesTable[[#This Row],[Psychologist/Pre-licensed Psychologist]]</f>
        <v>0</v>
      </c>
      <c r="J79" s="6">
        <f>UnitsTable[[#This Row],[LPHA (MFT  LCSW  LPCC)/ Intern or Waivered LPHA (MFT  LCSW  LPCC)]]*CodeRatesTable[[#This Row],[LPHA (MFT  LCSW  LPCC)/ Intern or Waivered LPHA (MFT  LCSW  LPCC)]]</f>
        <v>0</v>
      </c>
      <c r="K79" s="6">
        <f>UnitsTable[[#This Row],[Alcohol and Drug Counselor]]*CodeRatesTable[[#This Row],[Alcohol and Drug Counselor]]</f>
        <v>0</v>
      </c>
      <c r="L79" s="6">
        <f>UnitsTable[[#This Row],[Peer Recovery Specialist]]*CodeRatesTable[[#This Row],[Peer Recovery Specialist]]</f>
        <v>0</v>
      </c>
      <c r="M79" s="6">
        <f>SUM(RevenueTable[[#This Row],[Physicians Assistant]:[Peer Recovery Specialist]])</f>
        <v>0</v>
      </c>
    </row>
    <row r="80" spans="1:13" x14ac:dyDescent="0.25">
      <c r="A80" s="6" t="str">
        <f>INDEX(CodeMinutesTable[Frequently Used],MATCH(RevenueTable[[#This Row],[Billing Code]],CodeMinutesTable[Code],0))</f>
        <v>Yes</v>
      </c>
      <c r="B80" s="3" t="s">
        <v>191</v>
      </c>
      <c r="C80" t="s">
        <v>192</v>
      </c>
      <c r="D80" s="6">
        <f>UnitsTable[[#This Row],[Physicians Assistant]]*CodeRatesTable[[#This Row],[Physicians Assistant]]</f>
        <v>0</v>
      </c>
      <c r="E80" s="6">
        <f>UnitsTable[[#This Row],[Nurse Practitioner]]*CodeRatesTable[[#This Row],[Nurse Practitioner]]</f>
        <v>0</v>
      </c>
      <c r="F80" s="6">
        <f>UnitsTable[[#This Row],[RN]]*CodeRatesTable[[#This Row],[RN]]</f>
        <v>0</v>
      </c>
      <c r="G80" s="6">
        <f>UnitsTable[[#This Row],[Pharmacist]]*CodeRatesTable[[#This Row],[Pharmacist]]</f>
        <v>0</v>
      </c>
      <c r="H80" s="6">
        <f>UnitsTable[[#This Row],[MD (typically in SUD system of care)]]*CodeRatesTable[[#This Row],[MD (typically in SUD system of care)]]</f>
        <v>0</v>
      </c>
      <c r="I80" s="6">
        <f>UnitsTable[[#This Row],[Psychologist/Pre-licensed Psychologist]]*CodeRatesTable[[#This Row],[Psychologist/Pre-licensed Psychologist]]</f>
        <v>0</v>
      </c>
      <c r="J80" s="6">
        <f>UnitsTable[[#This Row],[LPHA (MFT  LCSW  LPCC)/ Intern or Waivered LPHA (MFT  LCSW  LPCC)]]*CodeRatesTable[[#This Row],[LPHA (MFT  LCSW  LPCC)/ Intern or Waivered LPHA (MFT  LCSW  LPCC)]]</f>
        <v>0</v>
      </c>
      <c r="K80" s="6">
        <f>UnitsTable[[#This Row],[Alcohol and Drug Counselor]]*CodeRatesTable[[#This Row],[Alcohol and Drug Counselor]]</f>
        <v>0</v>
      </c>
      <c r="L80" s="6">
        <f>UnitsTable[[#This Row],[Peer Recovery Specialist]]*CodeRatesTable[[#This Row],[Peer Recovery Specialist]]</f>
        <v>0</v>
      </c>
      <c r="M80" s="6">
        <f>SUM(RevenueTable[[#This Row],[Physicians Assistant]:[Peer Recovery Specialist]])</f>
        <v>0</v>
      </c>
    </row>
    <row r="81" spans="1:13" x14ac:dyDescent="0.25">
      <c r="A81" s="6" t="str">
        <f>INDEX(CodeMinutesTable[Frequently Used],MATCH(RevenueTable[[#This Row],[Billing Code]],CodeMinutesTable[Code],0))</f>
        <v>Yes</v>
      </c>
      <c r="B81" s="3" t="s">
        <v>193</v>
      </c>
      <c r="C81" t="s">
        <v>194</v>
      </c>
      <c r="D81" s="6">
        <f>UnitsTable[[#This Row],[Physicians Assistant]]*CodeRatesTable[[#This Row],[Physicians Assistant]]</f>
        <v>0</v>
      </c>
      <c r="E81" s="6">
        <f>UnitsTable[[#This Row],[Nurse Practitioner]]*CodeRatesTable[[#This Row],[Nurse Practitioner]]</f>
        <v>0</v>
      </c>
      <c r="F81" s="6">
        <f>UnitsTable[[#This Row],[RN]]*CodeRatesTable[[#This Row],[RN]]</f>
        <v>0</v>
      </c>
      <c r="G81" s="6">
        <f>UnitsTable[[#This Row],[Pharmacist]]*CodeRatesTable[[#This Row],[Pharmacist]]</f>
        <v>0</v>
      </c>
      <c r="H81" s="6">
        <f>UnitsTable[[#This Row],[MD (typically in SUD system of care)]]*CodeRatesTable[[#This Row],[MD (typically in SUD system of care)]]</f>
        <v>0</v>
      </c>
      <c r="I81" s="6">
        <f>UnitsTable[[#This Row],[Psychologist/Pre-licensed Psychologist]]*CodeRatesTable[[#This Row],[Psychologist/Pre-licensed Psychologist]]</f>
        <v>0</v>
      </c>
      <c r="J81" s="6">
        <f>UnitsTable[[#This Row],[LPHA (MFT  LCSW  LPCC)/ Intern or Waivered LPHA (MFT  LCSW  LPCC)]]*CodeRatesTable[[#This Row],[LPHA (MFT  LCSW  LPCC)/ Intern or Waivered LPHA (MFT  LCSW  LPCC)]]</f>
        <v>0</v>
      </c>
      <c r="K81" s="6">
        <f>UnitsTable[[#This Row],[Alcohol and Drug Counselor]]*CodeRatesTable[[#This Row],[Alcohol and Drug Counselor]]</f>
        <v>0</v>
      </c>
      <c r="L81" s="6">
        <f>UnitsTable[[#This Row],[Peer Recovery Specialist]]*CodeRatesTable[[#This Row],[Peer Recovery Specialist]]</f>
        <v>0</v>
      </c>
      <c r="M81" s="6">
        <f>SUM(RevenueTable[[#This Row],[Physicians Assistant]:[Peer Recovery Specialist]])</f>
        <v>0</v>
      </c>
    </row>
    <row r="82" spans="1:13" x14ac:dyDescent="0.25">
      <c r="A82" s="6" t="str">
        <f>INDEX(CodeMinutesTable[Frequently Used],MATCH(RevenueTable[[#This Row],[Billing Code]],CodeMinutesTable[Code],0))</f>
        <v>Yes</v>
      </c>
      <c r="B82" s="3" t="s">
        <v>195</v>
      </c>
      <c r="C82" t="s">
        <v>196</v>
      </c>
      <c r="D82" s="6">
        <f>UnitsTable[[#This Row],[Physicians Assistant]]*CodeRatesTable[[#This Row],[Physicians Assistant]]</f>
        <v>0</v>
      </c>
      <c r="E82" s="6">
        <f>UnitsTable[[#This Row],[Nurse Practitioner]]*CodeRatesTable[[#This Row],[Nurse Practitioner]]</f>
        <v>0</v>
      </c>
      <c r="F82" s="6">
        <f>UnitsTable[[#This Row],[RN]]*CodeRatesTable[[#This Row],[RN]]</f>
        <v>0</v>
      </c>
      <c r="G82" s="6">
        <f>UnitsTable[[#This Row],[Pharmacist]]*CodeRatesTable[[#This Row],[Pharmacist]]</f>
        <v>0</v>
      </c>
      <c r="H82" s="6">
        <f>UnitsTable[[#This Row],[MD (typically in SUD system of care)]]*CodeRatesTable[[#This Row],[MD (typically in SUD system of care)]]</f>
        <v>0</v>
      </c>
      <c r="I82" s="6">
        <f>UnitsTable[[#This Row],[Psychologist/Pre-licensed Psychologist]]*CodeRatesTable[[#This Row],[Psychologist/Pre-licensed Psychologist]]</f>
        <v>0</v>
      </c>
      <c r="J82" s="6">
        <f>UnitsTable[[#This Row],[LPHA (MFT  LCSW  LPCC)/ Intern or Waivered LPHA (MFT  LCSW  LPCC)]]*CodeRatesTable[[#This Row],[LPHA (MFT  LCSW  LPCC)/ Intern or Waivered LPHA (MFT  LCSW  LPCC)]]</f>
        <v>0</v>
      </c>
      <c r="K82" s="6">
        <f>UnitsTable[[#This Row],[Alcohol and Drug Counselor]]*CodeRatesTable[[#This Row],[Alcohol and Drug Counselor]]</f>
        <v>0</v>
      </c>
      <c r="L82" s="6">
        <f>UnitsTable[[#This Row],[Peer Recovery Specialist]]*CodeRatesTable[[#This Row],[Peer Recovery Specialist]]</f>
        <v>0</v>
      </c>
      <c r="M82" s="6">
        <f>SUM(RevenueTable[[#This Row],[Physicians Assistant]:[Peer Recovery Specialist]])</f>
        <v>0</v>
      </c>
    </row>
    <row r="83" spans="1:13" x14ac:dyDescent="0.25">
      <c r="A83" s="6" t="str">
        <f>INDEX(CodeMinutesTable[Frequently Used],MATCH(RevenueTable[[#This Row],[Billing Code]],CodeMinutesTable[Code],0))</f>
        <v>Yes</v>
      </c>
      <c r="B83" s="3" t="s">
        <v>197</v>
      </c>
      <c r="C83" t="s">
        <v>198</v>
      </c>
      <c r="D83" s="6">
        <f>UnitsTable[[#This Row],[Physicians Assistant]]*CodeRatesTable[[#This Row],[Physicians Assistant]]</f>
        <v>0</v>
      </c>
      <c r="E83" s="6">
        <f>UnitsTable[[#This Row],[Nurse Practitioner]]*CodeRatesTable[[#This Row],[Nurse Practitioner]]</f>
        <v>0</v>
      </c>
      <c r="F83" s="6">
        <f>UnitsTable[[#This Row],[RN]]*CodeRatesTable[[#This Row],[RN]]</f>
        <v>0</v>
      </c>
      <c r="G83" s="6">
        <f>UnitsTable[[#This Row],[Pharmacist]]*CodeRatesTable[[#This Row],[Pharmacist]]</f>
        <v>0</v>
      </c>
      <c r="H83" s="6">
        <f>UnitsTable[[#This Row],[MD (typically in SUD system of care)]]*CodeRatesTable[[#This Row],[MD (typically in SUD system of care)]]</f>
        <v>0</v>
      </c>
      <c r="I83" s="6">
        <f>UnitsTable[[#This Row],[Psychologist/Pre-licensed Psychologist]]*CodeRatesTable[[#This Row],[Psychologist/Pre-licensed Psychologist]]</f>
        <v>0</v>
      </c>
      <c r="J83" s="6">
        <f>UnitsTable[[#This Row],[LPHA (MFT  LCSW  LPCC)/ Intern or Waivered LPHA (MFT  LCSW  LPCC)]]*CodeRatesTable[[#This Row],[LPHA (MFT  LCSW  LPCC)/ Intern or Waivered LPHA (MFT  LCSW  LPCC)]]</f>
        <v>0</v>
      </c>
      <c r="K83" s="6">
        <f>UnitsTable[[#This Row],[Alcohol and Drug Counselor]]*CodeRatesTable[[#This Row],[Alcohol and Drug Counselor]]</f>
        <v>0</v>
      </c>
      <c r="L83" s="6">
        <f>UnitsTable[[#This Row],[Peer Recovery Specialist]]*CodeRatesTable[[#This Row],[Peer Recovery Specialist]]</f>
        <v>0</v>
      </c>
      <c r="M83" s="6">
        <f>SUM(RevenueTable[[#This Row],[Physicians Assistant]:[Peer Recovery Specialist]])</f>
        <v>0</v>
      </c>
    </row>
    <row r="84" spans="1:13" x14ac:dyDescent="0.25">
      <c r="A84" s="6" t="str">
        <f>INDEX(CodeMinutesTable[Frequently Used],MATCH(RevenueTable[[#This Row],[Billing Code]],CodeMinutesTable[Code],0))</f>
        <v>Yes</v>
      </c>
      <c r="B84" s="3" t="s">
        <v>199</v>
      </c>
      <c r="C84" t="s">
        <v>200</v>
      </c>
      <c r="D84" s="6">
        <f>UnitsTable[[#This Row],[Physicians Assistant]]*CodeRatesTable[[#This Row],[Physicians Assistant]]</f>
        <v>0</v>
      </c>
      <c r="E84" s="6">
        <f>UnitsTable[[#This Row],[Nurse Practitioner]]*CodeRatesTable[[#This Row],[Nurse Practitioner]]</f>
        <v>0</v>
      </c>
      <c r="F84" s="6">
        <f>UnitsTable[[#This Row],[RN]]*CodeRatesTable[[#This Row],[RN]]</f>
        <v>0</v>
      </c>
      <c r="G84" s="6">
        <f>UnitsTable[[#This Row],[Pharmacist]]*CodeRatesTable[[#This Row],[Pharmacist]]</f>
        <v>0</v>
      </c>
      <c r="H84" s="6">
        <f>UnitsTable[[#This Row],[MD (typically in SUD system of care)]]*CodeRatesTable[[#This Row],[MD (typically in SUD system of care)]]</f>
        <v>0</v>
      </c>
      <c r="I84" s="6">
        <f>UnitsTable[[#This Row],[Psychologist/Pre-licensed Psychologist]]*CodeRatesTable[[#This Row],[Psychologist/Pre-licensed Psychologist]]</f>
        <v>0</v>
      </c>
      <c r="J84" s="6">
        <f>UnitsTable[[#This Row],[LPHA (MFT  LCSW  LPCC)/ Intern or Waivered LPHA (MFT  LCSW  LPCC)]]*CodeRatesTable[[#This Row],[LPHA (MFT  LCSW  LPCC)/ Intern or Waivered LPHA (MFT  LCSW  LPCC)]]</f>
        <v>0</v>
      </c>
      <c r="K84" s="6">
        <f>UnitsTable[[#This Row],[Alcohol and Drug Counselor]]*CodeRatesTable[[#This Row],[Alcohol and Drug Counselor]]</f>
        <v>0</v>
      </c>
      <c r="L84" s="6">
        <f>UnitsTable[[#This Row],[Peer Recovery Specialist]]*CodeRatesTable[[#This Row],[Peer Recovery Specialist]]</f>
        <v>0</v>
      </c>
      <c r="M84" s="6">
        <f>SUM(RevenueTable[[#This Row],[Physicians Assistant]:[Peer Recovery Specialist]])</f>
        <v>0</v>
      </c>
    </row>
    <row r="85" spans="1:13" x14ac:dyDescent="0.25">
      <c r="A85" s="6" t="str">
        <f>INDEX(CodeMinutesTable[Frequently Used],MATCH(RevenueTable[[#This Row],[Billing Code]],CodeMinutesTable[Code],0))</f>
        <v>Yes</v>
      </c>
      <c r="B85" s="3" t="s">
        <v>201</v>
      </c>
      <c r="C85" t="s">
        <v>202</v>
      </c>
      <c r="D85" s="6">
        <f>UnitsTable[[#This Row],[Physicians Assistant]]*CodeRatesTable[[#This Row],[Physicians Assistant]]</f>
        <v>0</v>
      </c>
      <c r="E85" s="6">
        <f>UnitsTable[[#This Row],[Nurse Practitioner]]*CodeRatesTable[[#This Row],[Nurse Practitioner]]</f>
        <v>0</v>
      </c>
      <c r="F85" s="6">
        <f>UnitsTable[[#This Row],[RN]]*CodeRatesTable[[#This Row],[RN]]</f>
        <v>0</v>
      </c>
      <c r="G85" s="6">
        <f>UnitsTable[[#This Row],[Pharmacist]]*CodeRatesTable[[#This Row],[Pharmacist]]</f>
        <v>0</v>
      </c>
      <c r="H85" s="6">
        <f>UnitsTable[[#This Row],[MD (typically in SUD system of care)]]*CodeRatesTable[[#This Row],[MD (typically in SUD system of care)]]</f>
        <v>0</v>
      </c>
      <c r="I85" s="6">
        <f>UnitsTable[[#This Row],[Psychologist/Pre-licensed Psychologist]]*CodeRatesTable[[#This Row],[Psychologist/Pre-licensed Psychologist]]</f>
        <v>0</v>
      </c>
      <c r="J85" s="6">
        <f>UnitsTable[[#This Row],[LPHA (MFT  LCSW  LPCC)/ Intern or Waivered LPHA (MFT  LCSW  LPCC)]]*CodeRatesTable[[#This Row],[LPHA (MFT  LCSW  LPCC)/ Intern or Waivered LPHA (MFT  LCSW  LPCC)]]</f>
        <v>0</v>
      </c>
      <c r="K85" s="6">
        <f>UnitsTable[[#This Row],[Alcohol and Drug Counselor]]*CodeRatesTable[[#This Row],[Alcohol and Drug Counselor]]</f>
        <v>0</v>
      </c>
      <c r="L85" s="6">
        <f>UnitsTable[[#This Row],[Peer Recovery Specialist]]*CodeRatesTable[[#This Row],[Peer Recovery Specialist]]</f>
        <v>0</v>
      </c>
      <c r="M85" s="6">
        <f>SUM(RevenueTable[[#This Row],[Physicians Assistant]:[Peer Recovery Specialist]])</f>
        <v>0</v>
      </c>
    </row>
    <row r="86" spans="1:13" x14ac:dyDescent="0.25">
      <c r="A86" s="6" t="str">
        <f>INDEX(CodeMinutesTable[Frequently Used],MATCH(RevenueTable[[#This Row],[Billing Code]],CodeMinutesTable[Code],0))</f>
        <v>Yes</v>
      </c>
      <c r="B86" s="3" t="s">
        <v>203</v>
      </c>
      <c r="C86" t="s">
        <v>204</v>
      </c>
      <c r="D86" s="6">
        <f>UnitsTable[[#This Row],[Physicians Assistant]]*CodeRatesTable[[#This Row],[Physicians Assistant]]</f>
        <v>0</v>
      </c>
      <c r="E86" s="6">
        <f>UnitsTable[[#This Row],[Nurse Practitioner]]*CodeRatesTable[[#This Row],[Nurse Practitioner]]</f>
        <v>0</v>
      </c>
      <c r="F86" s="6">
        <f>UnitsTable[[#This Row],[RN]]*CodeRatesTable[[#This Row],[RN]]</f>
        <v>0</v>
      </c>
      <c r="G86" s="6">
        <f>UnitsTable[[#This Row],[Pharmacist]]*CodeRatesTable[[#This Row],[Pharmacist]]</f>
        <v>0</v>
      </c>
      <c r="H86" s="6">
        <f>UnitsTable[[#This Row],[MD (typically in SUD system of care)]]*CodeRatesTable[[#This Row],[MD (typically in SUD system of care)]]</f>
        <v>0</v>
      </c>
      <c r="I86" s="6">
        <f>UnitsTable[[#This Row],[Psychologist/Pre-licensed Psychologist]]*CodeRatesTable[[#This Row],[Psychologist/Pre-licensed Psychologist]]</f>
        <v>0</v>
      </c>
      <c r="J86" s="6">
        <f>UnitsTable[[#This Row],[LPHA (MFT  LCSW  LPCC)/ Intern or Waivered LPHA (MFT  LCSW  LPCC)]]*CodeRatesTable[[#This Row],[LPHA (MFT  LCSW  LPCC)/ Intern or Waivered LPHA (MFT  LCSW  LPCC)]]</f>
        <v>0</v>
      </c>
      <c r="K86" s="6">
        <f>UnitsTable[[#This Row],[Alcohol and Drug Counselor]]*CodeRatesTable[[#This Row],[Alcohol and Drug Counselor]]</f>
        <v>0</v>
      </c>
      <c r="L86" s="6">
        <f>UnitsTable[[#This Row],[Peer Recovery Specialist]]*CodeRatesTable[[#This Row],[Peer Recovery Specialist]]</f>
        <v>0</v>
      </c>
      <c r="M86" s="6">
        <f>SUM(RevenueTable[[#This Row],[Physicians Assistant]:[Peer Recovery Specialist]])</f>
        <v>0</v>
      </c>
    </row>
    <row r="87" spans="1:13" x14ac:dyDescent="0.25">
      <c r="A87" s="6" t="str">
        <f>INDEX(CodeMinutesTable[Frequently Used],MATCH(RevenueTable[[#This Row],[Billing Code]],CodeMinutesTable[Code],0))</f>
        <v>Yes</v>
      </c>
      <c r="B87" s="3" t="s">
        <v>205</v>
      </c>
      <c r="C87" t="s">
        <v>206</v>
      </c>
      <c r="D87" s="6">
        <f>UnitsTable[[#This Row],[Physicians Assistant]]*CodeRatesTable[[#This Row],[Physicians Assistant]]</f>
        <v>0</v>
      </c>
      <c r="E87" s="6">
        <f>UnitsTable[[#This Row],[Nurse Practitioner]]*CodeRatesTable[[#This Row],[Nurse Practitioner]]</f>
        <v>0</v>
      </c>
      <c r="F87" s="6">
        <f>UnitsTable[[#This Row],[RN]]*CodeRatesTable[[#This Row],[RN]]</f>
        <v>0</v>
      </c>
      <c r="G87" s="6">
        <f>UnitsTable[[#This Row],[Pharmacist]]*CodeRatesTable[[#This Row],[Pharmacist]]</f>
        <v>0</v>
      </c>
      <c r="H87" s="6">
        <f>UnitsTable[[#This Row],[MD (typically in SUD system of care)]]*CodeRatesTable[[#This Row],[MD (typically in SUD system of care)]]</f>
        <v>0</v>
      </c>
      <c r="I87" s="6">
        <f>UnitsTable[[#This Row],[Psychologist/Pre-licensed Psychologist]]*CodeRatesTable[[#This Row],[Psychologist/Pre-licensed Psychologist]]</f>
        <v>0</v>
      </c>
      <c r="J87" s="6">
        <f>UnitsTable[[#This Row],[LPHA (MFT  LCSW  LPCC)/ Intern or Waivered LPHA (MFT  LCSW  LPCC)]]*CodeRatesTable[[#This Row],[LPHA (MFT  LCSW  LPCC)/ Intern or Waivered LPHA (MFT  LCSW  LPCC)]]</f>
        <v>0</v>
      </c>
      <c r="K87" s="6">
        <f>UnitsTable[[#This Row],[Alcohol and Drug Counselor]]*CodeRatesTable[[#This Row],[Alcohol and Drug Counselor]]</f>
        <v>0</v>
      </c>
      <c r="L87" s="6">
        <f>UnitsTable[[#This Row],[Peer Recovery Specialist]]*CodeRatesTable[[#This Row],[Peer Recovery Specialist]]</f>
        <v>0</v>
      </c>
      <c r="M87" s="6">
        <f>SUM(RevenueTable[[#This Row],[Physicians Assistant]:[Peer Recovery Specialist]])</f>
        <v>0</v>
      </c>
    </row>
    <row r="88" spans="1:13" x14ac:dyDescent="0.25">
      <c r="A88" s="6" t="str">
        <f>INDEX(CodeMinutesTable[Frequently Used],MATCH(RevenueTable[[#This Row],[Billing Code]],CodeMinutesTable[Code],0))</f>
        <v>Yes</v>
      </c>
      <c r="B88" s="3" t="s">
        <v>207</v>
      </c>
      <c r="C88" t="s">
        <v>208</v>
      </c>
      <c r="D88" s="6">
        <f>UnitsTable[[#This Row],[Physicians Assistant]]*CodeRatesTable[[#This Row],[Physicians Assistant]]</f>
        <v>0</v>
      </c>
      <c r="E88" s="6">
        <f>UnitsTable[[#This Row],[Nurse Practitioner]]*CodeRatesTable[[#This Row],[Nurse Practitioner]]</f>
        <v>0</v>
      </c>
      <c r="F88" s="6">
        <f>UnitsTable[[#This Row],[RN]]*CodeRatesTable[[#This Row],[RN]]</f>
        <v>0</v>
      </c>
      <c r="G88" s="6">
        <f>UnitsTable[[#This Row],[Pharmacist]]*CodeRatesTable[[#This Row],[Pharmacist]]</f>
        <v>0</v>
      </c>
      <c r="H88" s="6">
        <f>UnitsTable[[#This Row],[MD (typically in SUD system of care)]]*CodeRatesTable[[#This Row],[MD (typically in SUD system of care)]]</f>
        <v>0</v>
      </c>
      <c r="I88" s="6">
        <f>UnitsTable[[#This Row],[Psychologist/Pre-licensed Psychologist]]*CodeRatesTable[[#This Row],[Psychologist/Pre-licensed Psychologist]]</f>
        <v>0</v>
      </c>
      <c r="J88" s="6">
        <f>UnitsTable[[#This Row],[LPHA (MFT  LCSW  LPCC)/ Intern or Waivered LPHA (MFT  LCSW  LPCC)]]*CodeRatesTable[[#This Row],[LPHA (MFT  LCSW  LPCC)/ Intern or Waivered LPHA (MFT  LCSW  LPCC)]]</f>
        <v>0</v>
      </c>
      <c r="K88" s="6">
        <f>UnitsTable[[#This Row],[Alcohol and Drug Counselor]]*CodeRatesTable[[#This Row],[Alcohol and Drug Counselor]]</f>
        <v>0</v>
      </c>
      <c r="L88" s="6">
        <f>UnitsTable[[#This Row],[Peer Recovery Specialist]]*CodeRatesTable[[#This Row],[Peer Recovery Specialist]]</f>
        <v>0</v>
      </c>
      <c r="M88" s="6">
        <f>SUM(RevenueTable[[#This Row],[Physicians Assistant]:[Peer Recovery Specialist]])</f>
        <v>0</v>
      </c>
    </row>
    <row r="89" spans="1:13" x14ac:dyDescent="0.25">
      <c r="A89" s="6" t="str">
        <f>INDEX(CodeMinutesTable[Frequently Used],MATCH(RevenueTable[[#This Row],[Billing Code]],CodeMinutesTable[Code],0))</f>
        <v>Yes</v>
      </c>
      <c r="B89" s="3" t="s">
        <v>209</v>
      </c>
      <c r="C89" t="s">
        <v>210</v>
      </c>
      <c r="D89" s="6">
        <f>UnitsTable[[#This Row],[Physicians Assistant]]*CodeRatesTable[[#This Row],[Physicians Assistant]]</f>
        <v>0</v>
      </c>
      <c r="E89" s="6">
        <f>UnitsTable[[#This Row],[Nurse Practitioner]]*CodeRatesTable[[#This Row],[Nurse Practitioner]]</f>
        <v>0</v>
      </c>
      <c r="F89" s="6">
        <f>UnitsTable[[#This Row],[RN]]*CodeRatesTable[[#This Row],[RN]]</f>
        <v>0</v>
      </c>
      <c r="G89" s="6">
        <f>UnitsTable[[#This Row],[Pharmacist]]*CodeRatesTable[[#This Row],[Pharmacist]]</f>
        <v>0</v>
      </c>
      <c r="H89" s="6">
        <f>UnitsTable[[#This Row],[MD (typically in SUD system of care)]]*CodeRatesTable[[#This Row],[MD (typically in SUD system of care)]]</f>
        <v>0</v>
      </c>
      <c r="I89" s="6">
        <f>UnitsTable[[#This Row],[Psychologist/Pre-licensed Psychologist]]*CodeRatesTable[[#This Row],[Psychologist/Pre-licensed Psychologist]]</f>
        <v>0</v>
      </c>
      <c r="J89" s="6">
        <f>UnitsTable[[#This Row],[LPHA (MFT  LCSW  LPCC)/ Intern or Waivered LPHA (MFT  LCSW  LPCC)]]*CodeRatesTable[[#This Row],[LPHA (MFT  LCSW  LPCC)/ Intern or Waivered LPHA (MFT  LCSW  LPCC)]]</f>
        <v>0</v>
      </c>
      <c r="K89" s="6">
        <f>UnitsTable[[#This Row],[Alcohol and Drug Counselor]]*CodeRatesTable[[#This Row],[Alcohol and Drug Counselor]]</f>
        <v>0</v>
      </c>
      <c r="L89" s="6">
        <f>UnitsTable[[#This Row],[Peer Recovery Specialist]]*CodeRatesTable[[#This Row],[Peer Recovery Specialist]]</f>
        <v>0</v>
      </c>
      <c r="M89" s="6">
        <f>SUM(RevenueTable[[#This Row],[Physicians Assistant]:[Peer Recovery Specialist]])</f>
        <v>0</v>
      </c>
    </row>
    <row r="90" spans="1:13" x14ac:dyDescent="0.25">
      <c r="A90" s="6" t="str">
        <f>INDEX(CodeMinutesTable[Frequently Used],MATCH(RevenueTable[[#This Row],[Billing Code]],CodeMinutesTable[Code],0))</f>
        <v>Yes</v>
      </c>
      <c r="B90" s="3" t="s">
        <v>211</v>
      </c>
      <c r="C90" t="s">
        <v>212</v>
      </c>
      <c r="D90" s="6">
        <f>UnitsTable[[#This Row],[Physicians Assistant]]*CodeRatesTable[[#This Row],[Physicians Assistant]]</f>
        <v>0</v>
      </c>
      <c r="E90" s="6">
        <f>UnitsTable[[#This Row],[Nurse Practitioner]]*CodeRatesTable[[#This Row],[Nurse Practitioner]]</f>
        <v>0</v>
      </c>
      <c r="F90" s="6">
        <f>UnitsTable[[#This Row],[RN]]*CodeRatesTable[[#This Row],[RN]]</f>
        <v>0</v>
      </c>
      <c r="G90" s="6">
        <f>UnitsTable[[#This Row],[Pharmacist]]*CodeRatesTable[[#This Row],[Pharmacist]]</f>
        <v>0</v>
      </c>
      <c r="H90" s="6">
        <f>UnitsTable[[#This Row],[MD (typically in SUD system of care)]]*CodeRatesTable[[#This Row],[MD (typically in SUD system of care)]]</f>
        <v>0</v>
      </c>
      <c r="I90" s="6">
        <f>UnitsTable[[#This Row],[Psychologist/Pre-licensed Psychologist]]*CodeRatesTable[[#This Row],[Psychologist/Pre-licensed Psychologist]]</f>
        <v>0</v>
      </c>
      <c r="J90" s="6">
        <f>UnitsTable[[#This Row],[LPHA (MFT  LCSW  LPCC)/ Intern or Waivered LPHA (MFT  LCSW  LPCC)]]*CodeRatesTable[[#This Row],[LPHA (MFT  LCSW  LPCC)/ Intern or Waivered LPHA (MFT  LCSW  LPCC)]]</f>
        <v>0</v>
      </c>
      <c r="K90" s="6">
        <f>UnitsTable[[#This Row],[Alcohol and Drug Counselor]]*CodeRatesTable[[#This Row],[Alcohol and Drug Counselor]]</f>
        <v>0</v>
      </c>
      <c r="L90" s="6">
        <f>UnitsTable[[#This Row],[Peer Recovery Specialist]]*CodeRatesTable[[#This Row],[Peer Recovery Specialist]]</f>
        <v>0</v>
      </c>
      <c r="M90" s="6">
        <f>SUM(RevenueTable[[#This Row],[Physicians Assistant]:[Peer Recovery Specialist]])</f>
        <v>0</v>
      </c>
    </row>
    <row r="91" spans="1:13" x14ac:dyDescent="0.25">
      <c r="A91" s="6" t="str">
        <f>INDEX(CodeMinutesTable[Frequently Used],MATCH(RevenueTable[[#This Row],[Billing Code]],CodeMinutesTable[Code],0))</f>
        <v>Yes</v>
      </c>
      <c r="B91" s="3" t="s">
        <v>213</v>
      </c>
      <c r="C91" t="s">
        <v>214</v>
      </c>
      <c r="D91" s="6">
        <f>UnitsTable[[#This Row],[Physicians Assistant]]*CodeRatesTable[[#This Row],[Physicians Assistant]]</f>
        <v>0</v>
      </c>
      <c r="E91" s="6">
        <f>UnitsTable[[#This Row],[Nurse Practitioner]]*CodeRatesTable[[#This Row],[Nurse Practitioner]]</f>
        <v>0</v>
      </c>
      <c r="F91" s="6">
        <f>UnitsTable[[#This Row],[RN]]*CodeRatesTable[[#This Row],[RN]]</f>
        <v>0</v>
      </c>
      <c r="G91" s="6">
        <f>UnitsTable[[#This Row],[Pharmacist]]*CodeRatesTable[[#This Row],[Pharmacist]]</f>
        <v>0</v>
      </c>
      <c r="H91" s="6">
        <f>UnitsTable[[#This Row],[MD (typically in SUD system of care)]]*CodeRatesTable[[#This Row],[MD (typically in SUD system of care)]]</f>
        <v>0</v>
      </c>
      <c r="I91" s="6">
        <f>UnitsTable[[#This Row],[Psychologist/Pre-licensed Psychologist]]*CodeRatesTable[[#This Row],[Psychologist/Pre-licensed Psychologist]]</f>
        <v>0</v>
      </c>
      <c r="J91" s="6">
        <f>UnitsTable[[#This Row],[LPHA (MFT  LCSW  LPCC)/ Intern or Waivered LPHA (MFT  LCSW  LPCC)]]*CodeRatesTable[[#This Row],[LPHA (MFT  LCSW  LPCC)/ Intern or Waivered LPHA (MFT  LCSW  LPCC)]]</f>
        <v>0</v>
      </c>
      <c r="K91" s="6">
        <f>UnitsTable[[#This Row],[Alcohol and Drug Counselor]]*CodeRatesTable[[#This Row],[Alcohol and Drug Counselor]]</f>
        <v>0</v>
      </c>
      <c r="L91" s="6">
        <f>UnitsTable[[#This Row],[Peer Recovery Specialist]]*CodeRatesTable[[#This Row],[Peer Recovery Specialist]]</f>
        <v>0</v>
      </c>
      <c r="M91" s="6">
        <f>SUM(RevenueTable[[#This Row],[Physicians Assistant]:[Peer Recovery Specialist]])</f>
        <v>0</v>
      </c>
    </row>
    <row r="92" spans="1:13" x14ac:dyDescent="0.25">
      <c r="A92" s="6" t="str">
        <f>INDEX(CodeMinutesTable[Frequently Used],MATCH(RevenueTable[[#This Row],[Billing Code]],CodeMinutesTable[Code],0))</f>
        <v>Yes</v>
      </c>
      <c r="B92" s="3" t="s">
        <v>215</v>
      </c>
      <c r="C92" t="s">
        <v>216</v>
      </c>
      <c r="D92" s="6">
        <f>UnitsTable[[#This Row],[Physicians Assistant]]*CodeRatesTable[[#This Row],[Physicians Assistant]]</f>
        <v>0</v>
      </c>
      <c r="E92" s="6">
        <f>UnitsTable[[#This Row],[Nurse Practitioner]]*CodeRatesTable[[#This Row],[Nurse Practitioner]]</f>
        <v>0</v>
      </c>
      <c r="F92" s="6">
        <f>UnitsTable[[#This Row],[RN]]*CodeRatesTable[[#This Row],[RN]]</f>
        <v>0</v>
      </c>
      <c r="G92" s="6">
        <f>UnitsTable[[#This Row],[Pharmacist]]*CodeRatesTable[[#This Row],[Pharmacist]]</f>
        <v>0</v>
      </c>
      <c r="H92" s="6">
        <f>UnitsTable[[#This Row],[MD (typically in SUD system of care)]]*CodeRatesTable[[#This Row],[MD (typically in SUD system of care)]]</f>
        <v>0</v>
      </c>
      <c r="I92" s="6">
        <f>UnitsTable[[#This Row],[Psychologist/Pre-licensed Psychologist]]*CodeRatesTable[[#This Row],[Psychologist/Pre-licensed Psychologist]]</f>
        <v>0</v>
      </c>
      <c r="J92" s="6">
        <f>UnitsTable[[#This Row],[LPHA (MFT  LCSW  LPCC)/ Intern or Waivered LPHA (MFT  LCSW  LPCC)]]*CodeRatesTable[[#This Row],[LPHA (MFT  LCSW  LPCC)/ Intern or Waivered LPHA (MFT  LCSW  LPCC)]]</f>
        <v>0</v>
      </c>
      <c r="K92" s="6">
        <f>UnitsTable[[#This Row],[Alcohol and Drug Counselor]]*CodeRatesTable[[#This Row],[Alcohol and Drug Counselor]]</f>
        <v>0</v>
      </c>
      <c r="L92" s="6">
        <f>UnitsTable[[#This Row],[Peer Recovery Specialist]]*CodeRatesTable[[#This Row],[Peer Recovery Specialist]]</f>
        <v>0</v>
      </c>
      <c r="M92" s="6">
        <f>SUM(RevenueTable[[#This Row],[Physicians Assistant]:[Peer Recovery Specialist]])</f>
        <v>0</v>
      </c>
    </row>
    <row r="93" spans="1:13" x14ac:dyDescent="0.25">
      <c r="A93" s="6" t="str">
        <f>INDEX(CodeMinutesTable[Frequently Used],MATCH(RevenueTable[[#This Row],[Billing Code]],CodeMinutesTable[Code],0))</f>
        <v>Yes</v>
      </c>
      <c r="B93" s="3" t="s">
        <v>217</v>
      </c>
      <c r="C93" t="s">
        <v>218</v>
      </c>
      <c r="D93" s="6">
        <f>UnitsTable[[#This Row],[Physicians Assistant]]*CodeRatesTable[[#This Row],[Physicians Assistant]]</f>
        <v>0</v>
      </c>
      <c r="E93" s="6">
        <f>UnitsTable[[#This Row],[Nurse Practitioner]]*CodeRatesTable[[#This Row],[Nurse Practitioner]]</f>
        <v>0</v>
      </c>
      <c r="F93" s="6">
        <f>UnitsTable[[#This Row],[RN]]*CodeRatesTable[[#This Row],[RN]]</f>
        <v>0</v>
      </c>
      <c r="G93" s="6">
        <f>UnitsTable[[#This Row],[Pharmacist]]*CodeRatesTable[[#This Row],[Pharmacist]]</f>
        <v>0</v>
      </c>
      <c r="H93" s="6">
        <f>UnitsTable[[#This Row],[MD (typically in SUD system of care)]]*CodeRatesTable[[#This Row],[MD (typically in SUD system of care)]]</f>
        <v>0</v>
      </c>
      <c r="I93" s="6">
        <f>UnitsTable[[#This Row],[Psychologist/Pre-licensed Psychologist]]*CodeRatesTable[[#This Row],[Psychologist/Pre-licensed Psychologist]]</f>
        <v>0</v>
      </c>
      <c r="J93" s="6">
        <f>UnitsTable[[#This Row],[LPHA (MFT  LCSW  LPCC)/ Intern or Waivered LPHA (MFT  LCSW  LPCC)]]*CodeRatesTable[[#This Row],[LPHA (MFT  LCSW  LPCC)/ Intern or Waivered LPHA (MFT  LCSW  LPCC)]]</f>
        <v>0</v>
      </c>
      <c r="K93" s="6">
        <f>UnitsTable[[#This Row],[Alcohol and Drug Counselor]]*CodeRatesTable[[#This Row],[Alcohol and Drug Counselor]]</f>
        <v>0</v>
      </c>
      <c r="L93" s="6">
        <f>UnitsTable[[#This Row],[Peer Recovery Specialist]]*CodeRatesTable[[#This Row],[Peer Recovery Specialist]]</f>
        <v>0</v>
      </c>
      <c r="M93" s="6">
        <f>SUM(RevenueTable[[#This Row],[Physicians Assistant]:[Peer Recovery Specialist]])</f>
        <v>0</v>
      </c>
    </row>
    <row r="94" spans="1:13" x14ac:dyDescent="0.25">
      <c r="A94" s="6" t="str">
        <f>INDEX(CodeMinutesTable[Frequently Used],MATCH(RevenueTable[[#This Row],[Billing Code]],CodeMinutesTable[Code],0))</f>
        <v>Yes</v>
      </c>
      <c r="B94" s="3" t="s">
        <v>219</v>
      </c>
      <c r="C94" t="s">
        <v>220</v>
      </c>
      <c r="D94" s="6">
        <f>UnitsTable[[#This Row],[Physicians Assistant]]*CodeRatesTable[[#This Row],[Physicians Assistant]]</f>
        <v>0</v>
      </c>
      <c r="E94" s="6">
        <f>UnitsTable[[#This Row],[Nurse Practitioner]]*CodeRatesTable[[#This Row],[Nurse Practitioner]]</f>
        <v>0</v>
      </c>
      <c r="F94" s="6">
        <f>UnitsTable[[#This Row],[RN]]*CodeRatesTable[[#This Row],[RN]]</f>
        <v>0</v>
      </c>
      <c r="G94" s="6">
        <f>UnitsTable[[#This Row],[Pharmacist]]*CodeRatesTable[[#This Row],[Pharmacist]]</f>
        <v>0</v>
      </c>
      <c r="H94" s="6">
        <f>UnitsTable[[#This Row],[MD (typically in SUD system of care)]]*CodeRatesTable[[#This Row],[MD (typically in SUD system of care)]]</f>
        <v>0</v>
      </c>
      <c r="I94" s="6">
        <f>UnitsTable[[#This Row],[Psychologist/Pre-licensed Psychologist]]*CodeRatesTable[[#This Row],[Psychologist/Pre-licensed Psychologist]]</f>
        <v>0</v>
      </c>
      <c r="J94" s="6">
        <f>UnitsTable[[#This Row],[LPHA (MFT  LCSW  LPCC)/ Intern or Waivered LPHA (MFT  LCSW  LPCC)]]*CodeRatesTable[[#This Row],[LPHA (MFT  LCSW  LPCC)/ Intern or Waivered LPHA (MFT  LCSW  LPCC)]]</f>
        <v>0</v>
      </c>
      <c r="K94" s="6">
        <f>UnitsTable[[#This Row],[Alcohol and Drug Counselor]]*CodeRatesTable[[#This Row],[Alcohol and Drug Counselor]]</f>
        <v>0</v>
      </c>
      <c r="L94" s="6">
        <f>UnitsTable[[#This Row],[Peer Recovery Specialist]]*CodeRatesTable[[#This Row],[Peer Recovery Specialist]]</f>
        <v>0</v>
      </c>
      <c r="M94" s="6">
        <f>SUM(RevenueTable[[#This Row],[Physicians Assistant]:[Peer Recovery Specialist]])</f>
        <v>0</v>
      </c>
    </row>
    <row r="95" spans="1:13" x14ac:dyDescent="0.25">
      <c r="A95" s="6" t="str">
        <f>INDEX(CodeMinutesTable[Frequently Used],MATCH(RevenueTable[[#This Row],[Billing Code]],CodeMinutesTable[Code],0))</f>
        <v>Yes</v>
      </c>
      <c r="B95" s="3" t="s">
        <v>221</v>
      </c>
      <c r="C95" t="s">
        <v>222</v>
      </c>
      <c r="D95" s="6">
        <f>UnitsTable[[#This Row],[Physicians Assistant]]*CodeRatesTable[[#This Row],[Physicians Assistant]]</f>
        <v>0</v>
      </c>
      <c r="E95" s="6">
        <f>UnitsTable[[#This Row],[Nurse Practitioner]]*CodeRatesTable[[#This Row],[Nurse Practitioner]]</f>
        <v>0</v>
      </c>
      <c r="F95" s="6">
        <f>UnitsTable[[#This Row],[RN]]*CodeRatesTable[[#This Row],[RN]]</f>
        <v>0</v>
      </c>
      <c r="G95" s="6">
        <f>UnitsTable[[#This Row],[Pharmacist]]*CodeRatesTable[[#This Row],[Pharmacist]]</f>
        <v>0</v>
      </c>
      <c r="H95" s="6">
        <f>UnitsTable[[#This Row],[MD (typically in SUD system of care)]]*CodeRatesTable[[#This Row],[MD (typically in SUD system of care)]]</f>
        <v>0</v>
      </c>
      <c r="I95" s="6">
        <f>UnitsTable[[#This Row],[Psychologist/Pre-licensed Psychologist]]*CodeRatesTable[[#This Row],[Psychologist/Pre-licensed Psychologist]]</f>
        <v>0</v>
      </c>
      <c r="J95" s="6">
        <f>UnitsTable[[#This Row],[LPHA (MFT  LCSW  LPCC)/ Intern or Waivered LPHA (MFT  LCSW  LPCC)]]*CodeRatesTable[[#This Row],[LPHA (MFT  LCSW  LPCC)/ Intern or Waivered LPHA (MFT  LCSW  LPCC)]]</f>
        <v>0</v>
      </c>
      <c r="K95" s="6">
        <f>UnitsTable[[#This Row],[Alcohol and Drug Counselor]]*CodeRatesTable[[#This Row],[Alcohol and Drug Counselor]]</f>
        <v>0</v>
      </c>
      <c r="L95" s="6">
        <f>UnitsTable[[#This Row],[Peer Recovery Specialist]]*CodeRatesTable[[#This Row],[Peer Recovery Specialist]]</f>
        <v>0</v>
      </c>
      <c r="M95" s="6">
        <f>SUM(RevenueTable[[#This Row],[Physicians Assistant]:[Peer Recovery Specialist]])</f>
        <v>0</v>
      </c>
    </row>
    <row r="96" spans="1:13" x14ac:dyDescent="0.25">
      <c r="A96" s="6" t="str">
        <f>INDEX(CodeMinutesTable[Frequently Used],MATCH(RevenueTable[[#This Row],[Billing Code]],CodeMinutesTable[Code],0))</f>
        <v>Yes</v>
      </c>
      <c r="B96" s="3" t="s">
        <v>223</v>
      </c>
      <c r="C96" t="s">
        <v>224</v>
      </c>
      <c r="D96" s="6">
        <f>UnitsTable[[#This Row],[Physicians Assistant]]*CodeRatesTable[[#This Row],[Physicians Assistant]]</f>
        <v>0</v>
      </c>
      <c r="E96" s="6">
        <f>UnitsTable[[#This Row],[Nurse Practitioner]]*CodeRatesTable[[#This Row],[Nurse Practitioner]]</f>
        <v>0</v>
      </c>
      <c r="F96" s="6">
        <f>UnitsTable[[#This Row],[RN]]*CodeRatesTable[[#This Row],[RN]]</f>
        <v>0</v>
      </c>
      <c r="G96" s="6">
        <f>UnitsTable[[#This Row],[Pharmacist]]*CodeRatesTable[[#This Row],[Pharmacist]]</f>
        <v>0</v>
      </c>
      <c r="H96" s="6">
        <f>UnitsTable[[#This Row],[MD (typically in SUD system of care)]]*CodeRatesTable[[#This Row],[MD (typically in SUD system of care)]]</f>
        <v>0</v>
      </c>
      <c r="I96" s="6">
        <f>UnitsTable[[#This Row],[Psychologist/Pre-licensed Psychologist]]*CodeRatesTable[[#This Row],[Psychologist/Pre-licensed Psychologist]]</f>
        <v>0</v>
      </c>
      <c r="J96" s="6">
        <f>UnitsTable[[#This Row],[LPHA (MFT  LCSW  LPCC)/ Intern or Waivered LPHA (MFT  LCSW  LPCC)]]*CodeRatesTable[[#This Row],[LPHA (MFT  LCSW  LPCC)/ Intern or Waivered LPHA (MFT  LCSW  LPCC)]]</f>
        <v>0</v>
      </c>
      <c r="K96" s="6">
        <f>UnitsTable[[#This Row],[Alcohol and Drug Counselor]]*CodeRatesTable[[#This Row],[Alcohol and Drug Counselor]]</f>
        <v>0</v>
      </c>
      <c r="L96" s="6">
        <f>UnitsTable[[#This Row],[Peer Recovery Specialist]]*CodeRatesTable[[#This Row],[Peer Recovery Specialist]]</f>
        <v>0</v>
      </c>
      <c r="M96" s="6">
        <f>SUM(RevenueTable[[#This Row],[Physicians Assistant]:[Peer Recovery Specialist]])</f>
        <v>0</v>
      </c>
    </row>
    <row r="97" spans="1:13" x14ac:dyDescent="0.25">
      <c r="A97" s="6" t="str">
        <f>INDEX(CodeMinutesTable[Frequently Used],MATCH(RevenueTable[[#This Row],[Billing Code]],CodeMinutesTable[Code],0))</f>
        <v>Yes</v>
      </c>
      <c r="B97" s="3" t="s">
        <v>225</v>
      </c>
      <c r="C97" t="s">
        <v>226</v>
      </c>
      <c r="D97" s="6">
        <f>UnitsTable[[#This Row],[Physicians Assistant]]*CodeRatesTable[[#This Row],[Physicians Assistant]]</f>
        <v>0</v>
      </c>
      <c r="E97" s="6">
        <f>UnitsTable[[#This Row],[Nurse Practitioner]]*CodeRatesTable[[#This Row],[Nurse Practitioner]]</f>
        <v>0</v>
      </c>
      <c r="F97" s="6">
        <f>UnitsTable[[#This Row],[RN]]*CodeRatesTable[[#This Row],[RN]]</f>
        <v>0</v>
      </c>
      <c r="G97" s="6">
        <f>UnitsTable[[#This Row],[Pharmacist]]*CodeRatesTable[[#This Row],[Pharmacist]]</f>
        <v>0</v>
      </c>
      <c r="H97" s="6">
        <f>UnitsTable[[#This Row],[MD (typically in SUD system of care)]]*CodeRatesTable[[#This Row],[MD (typically in SUD system of care)]]</f>
        <v>0</v>
      </c>
      <c r="I97" s="6">
        <f>UnitsTable[[#This Row],[Psychologist/Pre-licensed Psychologist]]*CodeRatesTable[[#This Row],[Psychologist/Pre-licensed Psychologist]]</f>
        <v>0</v>
      </c>
      <c r="J97" s="6">
        <f>UnitsTable[[#This Row],[LPHA (MFT  LCSW  LPCC)/ Intern or Waivered LPHA (MFT  LCSW  LPCC)]]*CodeRatesTable[[#This Row],[LPHA (MFT  LCSW  LPCC)/ Intern or Waivered LPHA (MFT  LCSW  LPCC)]]</f>
        <v>0</v>
      </c>
      <c r="K97" s="6">
        <f>UnitsTable[[#This Row],[Alcohol and Drug Counselor]]*CodeRatesTable[[#This Row],[Alcohol and Drug Counselor]]</f>
        <v>0</v>
      </c>
      <c r="L97" s="6">
        <f>UnitsTable[[#This Row],[Peer Recovery Specialist]]*CodeRatesTable[[#This Row],[Peer Recovery Specialist]]</f>
        <v>0</v>
      </c>
      <c r="M97" s="6">
        <f>SUM(RevenueTable[[#This Row],[Physicians Assistant]:[Peer Recovery Specialist]])</f>
        <v>0</v>
      </c>
    </row>
    <row r="98" spans="1:13" x14ac:dyDescent="0.25">
      <c r="A98" s="6" t="str">
        <f>INDEX(CodeMinutesTable[Frequently Used],MATCH(RevenueTable[[#This Row],[Billing Code]],CodeMinutesTable[Code],0))</f>
        <v>Yes</v>
      </c>
      <c r="B98" s="3" t="s">
        <v>227</v>
      </c>
      <c r="C98" t="s">
        <v>228</v>
      </c>
      <c r="D98" s="6">
        <f>UnitsTable[[#This Row],[Physicians Assistant]]*CodeRatesTable[[#This Row],[Physicians Assistant]]</f>
        <v>0</v>
      </c>
      <c r="E98" s="6">
        <f>UnitsTable[[#This Row],[Nurse Practitioner]]*CodeRatesTable[[#This Row],[Nurse Practitioner]]</f>
        <v>0</v>
      </c>
      <c r="F98" s="6">
        <f>UnitsTable[[#This Row],[RN]]*CodeRatesTable[[#This Row],[RN]]</f>
        <v>0</v>
      </c>
      <c r="G98" s="6">
        <f>UnitsTable[[#This Row],[Pharmacist]]*CodeRatesTable[[#This Row],[Pharmacist]]</f>
        <v>0</v>
      </c>
      <c r="H98" s="6">
        <f>UnitsTable[[#This Row],[MD (typically in SUD system of care)]]*CodeRatesTable[[#This Row],[MD (typically in SUD system of care)]]</f>
        <v>0</v>
      </c>
      <c r="I98" s="6">
        <f>UnitsTable[[#This Row],[Psychologist/Pre-licensed Psychologist]]*CodeRatesTable[[#This Row],[Psychologist/Pre-licensed Psychologist]]</f>
        <v>0</v>
      </c>
      <c r="J98" s="6">
        <f>UnitsTable[[#This Row],[LPHA (MFT  LCSW  LPCC)/ Intern or Waivered LPHA (MFT  LCSW  LPCC)]]*CodeRatesTable[[#This Row],[LPHA (MFT  LCSW  LPCC)/ Intern or Waivered LPHA (MFT  LCSW  LPCC)]]</f>
        <v>0</v>
      </c>
      <c r="K98" s="6">
        <f>UnitsTable[[#This Row],[Alcohol and Drug Counselor]]*CodeRatesTable[[#This Row],[Alcohol and Drug Counselor]]</f>
        <v>0</v>
      </c>
      <c r="L98" s="6">
        <f>UnitsTable[[#This Row],[Peer Recovery Specialist]]*CodeRatesTable[[#This Row],[Peer Recovery Specialist]]</f>
        <v>0</v>
      </c>
      <c r="M98" s="6">
        <f>SUM(RevenueTable[[#This Row],[Physicians Assistant]:[Peer Recovery Specialist]])</f>
        <v>0</v>
      </c>
    </row>
    <row r="99" spans="1:13" x14ac:dyDescent="0.25">
      <c r="A99" s="6" t="str">
        <f>INDEX(CodeMinutesTable[Frequently Used],MATCH(RevenueTable[[#This Row],[Billing Code]],CodeMinutesTable[Code],0))</f>
        <v>Yes</v>
      </c>
      <c r="B99" s="3" t="s">
        <v>229</v>
      </c>
      <c r="C99" t="s">
        <v>230</v>
      </c>
      <c r="D99" s="6">
        <f>UnitsTable[[#This Row],[Physicians Assistant]]*CodeRatesTable[[#This Row],[Physicians Assistant]]</f>
        <v>0</v>
      </c>
      <c r="E99" s="6">
        <f>UnitsTable[[#This Row],[Nurse Practitioner]]*CodeRatesTable[[#This Row],[Nurse Practitioner]]</f>
        <v>0</v>
      </c>
      <c r="F99" s="6">
        <f>UnitsTable[[#This Row],[RN]]*CodeRatesTable[[#This Row],[RN]]</f>
        <v>0</v>
      </c>
      <c r="G99" s="6">
        <f>UnitsTable[[#This Row],[Pharmacist]]*CodeRatesTable[[#This Row],[Pharmacist]]</f>
        <v>0</v>
      </c>
      <c r="H99" s="6">
        <f>UnitsTable[[#This Row],[MD (typically in SUD system of care)]]*CodeRatesTable[[#This Row],[MD (typically in SUD system of care)]]</f>
        <v>0</v>
      </c>
      <c r="I99" s="6">
        <f>UnitsTable[[#This Row],[Psychologist/Pre-licensed Psychologist]]*CodeRatesTable[[#This Row],[Psychologist/Pre-licensed Psychologist]]</f>
        <v>0</v>
      </c>
      <c r="J99" s="6">
        <f>UnitsTable[[#This Row],[LPHA (MFT  LCSW  LPCC)/ Intern or Waivered LPHA (MFT  LCSW  LPCC)]]*CodeRatesTable[[#This Row],[LPHA (MFT  LCSW  LPCC)/ Intern or Waivered LPHA (MFT  LCSW  LPCC)]]</f>
        <v>0</v>
      </c>
      <c r="K99" s="6">
        <f>UnitsTable[[#This Row],[Alcohol and Drug Counselor]]*CodeRatesTable[[#This Row],[Alcohol and Drug Counselor]]</f>
        <v>0</v>
      </c>
      <c r="L99" s="6">
        <f>UnitsTable[[#This Row],[Peer Recovery Specialist]]*CodeRatesTable[[#This Row],[Peer Recovery Specialist]]</f>
        <v>0</v>
      </c>
      <c r="M99" s="6">
        <f>SUM(RevenueTable[[#This Row],[Physicians Assistant]:[Peer Recovery Specialist]])</f>
        <v>0</v>
      </c>
    </row>
    <row r="100" spans="1:13" x14ac:dyDescent="0.25">
      <c r="A100" s="3"/>
      <c r="B100" s="3" t="s">
        <v>34</v>
      </c>
      <c r="D100" s="6">
        <f>SUBTOTAL(109,RevenueTable[Physicians Assistant])</f>
        <v>0</v>
      </c>
      <c r="E100" s="6">
        <f>SUBTOTAL(109,RevenueTable[Nurse Practitioner])</f>
        <v>0</v>
      </c>
      <c r="F100" s="6">
        <f>SUBTOTAL(109,RevenueTable[RN])</f>
        <v>0</v>
      </c>
      <c r="G100" s="6">
        <f>SUBTOTAL(109,RevenueTable[Pharmacist])</f>
        <v>0</v>
      </c>
      <c r="H100" s="6">
        <f>SUBTOTAL(109,RevenueTable[MD (typically in SUD system of care)])</f>
        <v>0</v>
      </c>
      <c r="I100" s="6">
        <f>SUBTOTAL(109,RevenueTable[Psychologist/Pre-licensed Psychologist])</f>
        <v>0</v>
      </c>
      <c r="J100" s="6">
        <f>SUBTOTAL(109,RevenueTable[LPHA (MFT  LCSW  LPCC)/ Intern or Waivered LPHA (MFT  LCSW  LPCC)])</f>
        <v>0</v>
      </c>
      <c r="K100" s="6">
        <f>SUBTOTAL(109,RevenueTable[Alcohol and Drug Counselor])</f>
        <v>0</v>
      </c>
      <c r="L100" s="6">
        <f>SUBTOTAL(109,RevenueTable[Peer Recovery Specialist])</f>
        <v>0</v>
      </c>
      <c r="M100" s="13">
        <f>SUBTOTAL(109,RevenueTable[Total])</f>
        <v>0</v>
      </c>
    </row>
  </sheetData>
  <sheetProtection sheet="1" formatCells="0" formatColumns="0" formatRows="0" sort="0" autoFilter="0"/>
  <pageMargins left="0.7" right="0.7" top="0.75" bottom="0.75" header="0.3" footer="0.3"/>
  <pageSetup orientation="portrait" horizontalDpi="300" verticalDpi="3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C1DD-756B-4A4C-BE09-1554E61F58E5}">
  <dimension ref="A1:L99"/>
  <sheetViews>
    <sheetView workbookViewId="0">
      <pane xSplit="3" ySplit="1" topLeftCell="G2" activePane="bottomRight" state="frozen"/>
      <selection pane="topRight" activeCell="C1" sqref="C1"/>
      <selection pane="bottomLeft" activeCell="A2" sqref="A2"/>
      <selection pane="bottomRight" sqref="A1:XFD1"/>
    </sheetView>
  </sheetViews>
  <sheetFormatPr defaultRowHeight="15" x14ac:dyDescent="0.25"/>
  <cols>
    <col min="1" max="2" width="10.7109375" customWidth="1"/>
    <col min="3" max="3" width="60.7109375" customWidth="1"/>
    <col min="4" max="12" width="25.7109375" customWidth="1"/>
  </cols>
  <sheetData>
    <row r="1" spans="1:12" s="1" customFormat="1" ht="45" customHeight="1" x14ac:dyDescent="0.25">
      <c r="A1" s="1" t="s">
        <v>23</v>
      </c>
      <c r="B1" s="1" t="s">
        <v>24</v>
      </c>
      <c r="C1" s="1" t="s">
        <v>25</v>
      </c>
      <c r="D1" s="1" t="s">
        <v>26</v>
      </c>
      <c r="E1" s="1" t="s">
        <v>27</v>
      </c>
      <c r="F1" s="1" t="s">
        <v>28</v>
      </c>
      <c r="G1" s="1" t="s">
        <v>29</v>
      </c>
      <c r="H1" s="1" t="s">
        <v>30</v>
      </c>
      <c r="I1" s="1" t="s">
        <v>31</v>
      </c>
      <c r="J1" s="1" t="s">
        <v>266</v>
      </c>
      <c r="K1" s="1" t="s">
        <v>32</v>
      </c>
      <c r="L1" s="1" t="s">
        <v>33</v>
      </c>
    </row>
    <row r="2" spans="1:12" x14ac:dyDescent="0.25">
      <c r="A2" s="6" t="str">
        <f>INDEX(CodeMinutesTable[Frequently Used],MATCH(CodeRatesTable[[#This Row],[Billing Code]],CodeMinutesTable[Code],0))</f>
        <v>Yes</v>
      </c>
      <c r="B2" s="3" t="s">
        <v>35</v>
      </c>
      <c r="C2" t="s">
        <v>36</v>
      </c>
      <c r="D2" s="6">
        <f>VLOOKUP($B2, CodeMinutesTable[[Code]:[Minutes]], 3, FALSE) * VLOOKUP(D$1, ProviderRatesTable[], 3, FALSE)</f>
        <v>400</v>
      </c>
      <c r="E2" s="6">
        <f>VLOOKUP($B2, CodeMinutesTable[[Code]:[Minutes]], 3, FALSE) * VLOOKUP(E$1, ProviderRatesTable[], 3, FALSE)</f>
        <v>375</v>
      </c>
      <c r="F2" s="6">
        <f>VLOOKUP($B2, CodeMinutesTable[[Code]:[Minutes]], 3, FALSE) * VLOOKUP(F$1, ProviderRatesTable[], 3, FALSE)</f>
        <v>350</v>
      </c>
      <c r="G2" s="6">
        <f>VLOOKUP($B2, CodeMinutesTable[[Code]:[Minutes]], 3, FALSE) * VLOOKUP(G$1, ProviderRatesTable[], 3, FALSE)</f>
        <v>275</v>
      </c>
      <c r="H2" s="6">
        <f>VLOOKUP($B2, CodeMinutesTable[[Code]:[Minutes]], 3, FALSE) * VLOOKUP(H$1, ProviderRatesTable[], 3, FALSE)</f>
        <v>425</v>
      </c>
      <c r="I2" s="6">
        <f>VLOOKUP($B2, CodeMinutesTable[[Code]:[Minutes]], 3, FALSE) * VLOOKUP(I$1, ProviderRatesTable[], 3, FALSE)</f>
        <v>225</v>
      </c>
      <c r="J2" s="6">
        <f>VLOOKUP($B2, CodeMinutesTable[[Code]:[Minutes]], 3, FALSE) * VLOOKUP(J$1, ProviderRatesTable[], 3, FALSE)</f>
        <v>200</v>
      </c>
      <c r="K2" s="6">
        <f>VLOOKUP($B2, CodeMinutesTable[[Code]:[Minutes]], 3, FALSE) * VLOOKUP(K$1, ProviderRatesTable[], 3, FALSE)</f>
        <v>125.00000000000001</v>
      </c>
      <c r="L2" s="6">
        <f>VLOOKUP($B2, CodeMinutesTable[[Code]:[Minutes]], 3, FALSE) * VLOOKUP(L$1, ProviderRatesTable[], 3, FALSE)</f>
        <v>100</v>
      </c>
    </row>
    <row r="3" spans="1:12" x14ac:dyDescent="0.25">
      <c r="A3" s="6" t="str">
        <f>INDEX(CodeMinutesTable[Frequently Used],MATCH(CodeRatesTable[[#This Row],[Billing Code]],CodeMinutesTable[Code],0))</f>
        <v>Yes</v>
      </c>
      <c r="B3" s="3" t="s">
        <v>37</v>
      </c>
      <c r="C3" t="s">
        <v>38</v>
      </c>
      <c r="D3" s="6">
        <f>VLOOKUP($B3, CodeMinutesTable[[Code]:[Minutes]], 3, FALSE) * VLOOKUP(D$1, ProviderRatesTable[], 3, FALSE)</f>
        <v>400</v>
      </c>
      <c r="E3" s="6">
        <f>VLOOKUP($B3, CodeMinutesTable[[Code]:[Minutes]], 3, FALSE) * VLOOKUP(E$1, ProviderRatesTable[], 3, FALSE)</f>
        <v>375</v>
      </c>
      <c r="F3" s="6">
        <f>VLOOKUP($B3, CodeMinutesTable[[Code]:[Minutes]], 3, FALSE) * VLOOKUP(F$1, ProviderRatesTable[], 3, FALSE)</f>
        <v>350</v>
      </c>
      <c r="G3" s="6">
        <f>VLOOKUP($B3, CodeMinutesTable[[Code]:[Minutes]], 3, FALSE) * VLOOKUP(G$1, ProviderRatesTable[], 3, FALSE)</f>
        <v>275</v>
      </c>
      <c r="H3" s="6">
        <f>VLOOKUP($B3, CodeMinutesTable[[Code]:[Minutes]], 3, FALSE) * VLOOKUP(H$1, ProviderRatesTable[], 3, FALSE)</f>
        <v>425</v>
      </c>
      <c r="I3" s="6">
        <f>VLOOKUP($B3, CodeMinutesTable[[Code]:[Minutes]], 3, FALSE) * VLOOKUP(I$1, ProviderRatesTable[], 3, FALSE)</f>
        <v>225</v>
      </c>
      <c r="J3" s="6">
        <f>VLOOKUP($B3, CodeMinutesTable[[Code]:[Minutes]], 3, FALSE) * VLOOKUP(J$1, ProviderRatesTable[], 3, FALSE)</f>
        <v>200</v>
      </c>
      <c r="K3" s="6">
        <f>VLOOKUP($B3, CodeMinutesTable[[Code]:[Minutes]], 3, FALSE) * VLOOKUP(K$1, ProviderRatesTable[], 3, FALSE)</f>
        <v>125.00000000000001</v>
      </c>
      <c r="L3" s="6">
        <f>VLOOKUP($B3, CodeMinutesTable[[Code]:[Minutes]], 3, FALSE) * VLOOKUP(L$1, ProviderRatesTable[], 3, FALSE)</f>
        <v>100</v>
      </c>
    </row>
    <row r="4" spans="1:12" x14ac:dyDescent="0.25">
      <c r="A4" s="6" t="str">
        <f>INDEX(CodeMinutesTable[Frequently Used],MATCH(CodeRatesTable[[#This Row],[Billing Code]],CodeMinutesTable[Code],0))</f>
        <v>Yes</v>
      </c>
      <c r="B4" s="3" t="s">
        <v>39</v>
      </c>
      <c r="C4" t="s">
        <v>40</v>
      </c>
      <c r="D4" s="6">
        <f>VLOOKUP($B4, CodeMinutesTable[[Code]:[Minutes]], 3, FALSE) * VLOOKUP(D$1, ProviderRatesTable[], 3, FALSE)</f>
        <v>400</v>
      </c>
      <c r="E4" s="6">
        <f>VLOOKUP($B4, CodeMinutesTable[[Code]:[Minutes]], 3, FALSE) * VLOOKUP(E$1, ProviderRatesTable[], 3, FALSE)</f>
        <v>375</v>
      </c>
      <c r="F4" s="6">
        <f>VLOOKUP($B4, CodeMinutesTable[[Code]:[Minutes]], 3, FALSE) * VLOOKUP(F$1, ProviderRatesTable[], 3, FALSE)</f>
        <v>350</v>
      </c>
      <c r="G4" s="6">
        <f>VLOOKUP($B4, CodeMinutesTable[[Code]:[Minutes]], 3, FALSE) * VLOOKUP(G$1, ProviderRatesTable[], 3, FALSE)</f>
        <v>275</v>
      </c>
      <c r="H4" s="6">
        <f>VLOOKUP($B4, CodeMinutesTable[[Code]:[Minutes]], 3, FALSE) * VLOOKUP(H$1, ProviderRatesTable[], 3, FALSE)</f>
        <v>425</v>
      </c>
      <c r="I4" s="6">
        <f>VLOOKUP($B4, CodeMinutesTable[[Code]:[Minutes]], 3, FALSE) * VLOOKUP(I$1, ProviderRatesTable[], 3, FALSE)</f>
        <v>225</v>
      </c>
      <c r="J4" s="6">
        <f>VLOOKUP($B4, CodeMinutesTable[[Code]:[Minutes]], 3, FALSE) * VLOOKUP(J$1, ProviderRatesTable[], 3, FALSE)</f>
        <v>200</v>
      </c>
      <c r="K4" s="6">
        <f>VLOOKUP($B4, CodeMinutesTable[[Code]:[Minutes]], 3, FALSE) * VLOOKUP(K$1, ProviderRatesTable[], 3, FALSE)</f>
        <v>125.00000000000001</v>
      </c>
      <c r="L4" s="6">
        <f>VLOOKUP($B4, CodeMinutesTable[[Code]:[Minutes]], 3, FALSE) * VLOOKUP(L$1, ProviderRatesTable[], 3, FALSE)</f>
        <v>100</v>
      </c>
    </row>
    <row r="5" spans="1:12" x14ac:dyDescent="0.25">
      <c r="A5" s="6" t="str">
        <f>INDEX(CodeMinutesTable[Frequently Used],MATCH(CodeRatesTable[[#This Row],[Billing Code]],CodeMinutesTable[Code],0))</f>
        <v>Yes</v>
      </c>
      <c r="B5" s="3" t="s">
        <v>41</v>
      </c>
      <c r="C5" t="s">
        <v>42</v>
      </c>
      <c r="D5" s="6">
        <f>VLOOKUP($B5, CodeMinutesTable[[Code]:[Minutes]], 3, FALSE) * VLOOKUP(D$1, ProviderRatesTable[], 3, FALSE)</f>
        <v>1333.3333333333335</v>
      </c>
      <c r="E5" s="6">
        <f>VLOOKUP($B5, CodeMinutesTable[[Code]:[Minutes]], 3, FALSE) * VLOOKUP(E$1, ProviderRatesTable[], 3, FALSE)</f>
        <v>1250</v>
      </c>
      <c r="F5" s="6">
        <f>VLOOKUP($B5, CodeMinutesTable[[Code]:[Minutes]], 3, FALSE) * VLOOKUP(F$1, ProviderRatesTable[], 3, FALSE)</f>
        <v>1166.6666666666665</v>
      </c>
      <c r="G5" s="6">
        <f>VLOOKUP($B5, CodeMinutesTable[[Code]:[Minutes]], 3, FALSE) * VLOOKUP(G$1, ProviderRatesTable[], 3, FALSE)</f>
        <v>916.66666666666663</v>
      </c>
      <c r="H5" s="6">
        <f>VLOOKUP($B5, CodeMinutesTable[[Code]:[Minutes]], 3, FALSE) * VLOOKUP(H$1, ProviderRatesTable[], 3, FALSE)</f>
        <v>1416.6666666666665</v>
      </c>
      <c r="I5" s="6">
        <f>VLOOKUP($B5, CodeMinutesTable[[Code]:[Minutes]], 3, FALSE) * VLOOKUP(I$1, ProviderRatesTable[], 3, FALSE)</f>
        <v>750</v>
      </c>
      <c r="J5" s="6">
        <f>VLOOKUP($B5, CodeMinutesTable[[Code]:[Minutes]], 3, FALSE) * VLOOKUP(J$1, ProviderRatesTable[], 3, FALSE)</f>
        <v>666.66666666666674</v>
      </c>
      <c r="K5" s="6">
        <f>VLOOKUP($B5, CodeMinutesTable[[Code]:[Minutes]], 3, FALSE) * VLOOKUP(K$1, ProviderRatesTable[], 3, FALSE)</f>
        <v>416.66666666666669</v>
      </c>
      <c r="L5" s="6">
        <f>VLOOKUP($B5, CodeMinutesTable[[Code]:[Minutes]], 3, FALSE) * VLOOKUP(L$1, ProviderRatesTable[], 3, FALSE)</f>
        <v>333.33333333333337</v>
      </c>
    </row>
    <row r="6" spans="1:12" x14ac:dyDescent="0.25">
      <c r="A6" s="6" t="str">
        <f>INDEX(CodeMinutesTable[Frequently Used],MATCH(CodeRatesTable[[#This Row],[Billing Code]],CodeMinutesTable[Code],0))</f>
        <v>Yes</v>
      </c>
      <c r="B6" s="3" t="s">
        <v>43</v>
      </c>
      <c r="C6" t="s">
        <v>44</v>
      </c>
      <c r="D6" s="6">
        <f>VLOOKUP($B6, CodeMinutesTable[[Code]:[Minutes]], 3, FALSE) * VLOOKUP(D$1, ProviderRatesTable[], 3, FALSE)</f>
        <v>1333.3333333333335</v>
      </c>
      <c r="E6" s="6">
        <f>VLOOKUP($B6, CodeMinutesTable[[Code]:[Minutes]], 3, FALSE) * VLOOKUP(E$1, ProviderRatesTable[], 3, FALSE)</f>
        <v>1250</v>
      </c>
      <c r="F6" s="6">
        <f>VLOOKUP($B6, CodeMinutesTable[[Code]:[Minutes]], 3, FALSE) * VLOOKUP(F$1, ProviderRatesTable[], 3, FALSE)</f>
        <v>1166.6666666666665</v>
      </c>
      <c r="G6" s="6">
        <f>VLOOKUP($B6, CodeMinutesTable[[Code]:[Minutes]], 3, FALSE) * VLOOKUP(G$1, ProviderRatesTable[], 3, FALSE)</f>
        <v>916.66666666666663</v>
      </c>
      <c r="H6" s="6">
        <f>VLOOKUP($B6, CodeMinutesTable[[Code]:[Minutes]], 3, FALSE) * VLOOKUP(H$1, ProviderRatesTable[], 3, FALSE)</f>
        <v>1416.6666666666665</v>
      </c>
      <c r="I6" s="6">
        <f>VLOOKUP($B6, CodeMinutesTable[[Code]:[Minutes]], 3, FALSE) * VLOOKUP(I$1, ProviderRatesTable[], 3, FALSE)</f>
        <v>750</v>
      </c>
      <c r="J6" s="6">
        <f>VLOOKUP($B6, CodeMinutesTable[[Code]:[Minutes]], 3, FALSE) * VLOOKUP(J$1, ProviderRatesTable[], 3, FALSE)</f>
        <v>666.66666666666674</v>
      </c>
      <c r="K6" s="6">
        <f>VLOOKUP($B6, CodeMinutesTable[[Code]:[Minutes]], 3, FALSE) * VLOOKUP(K$1, ProviderRatesTable[], 3, FALSE)</f>
        <v>416.66666666666669</v>
      </c>
      <c r="L6" s="6">
        <f>VLOOKUP($B6, CodeMinutesTable[[Code]:[Minutes]], 3, FALSE) * VLOOKUP(L$1, ProviderRatesTable[], 3, FALSE)</f>
        <v>333.33333333333337</v>
      </c>
    </row>
    <row r="7" spans="1:12" x14ac:dyDescent="0.25">
      <c r="A7" s="6" t="str">
        <f>INDEX(CodeMinutesTable[Frequently Used],MATCH(CodeRatesTable[[#This Row],[Billing Code]],CodeMinutesTable[Code],0))</f>
        <v>Yes</v>
      </c>
      <c r="B7" s="3" t="s">
        <v>45</v>
      </c>
      <c r="C7" t="s">
        <v>46</v>
      </c>
      <c r="D7" s="6">
        <f>VLOOKUP($B7, CodeMinutesTable[[Code]:[Minutes]], 3, FALSE) * VLOOKUP(D$1, ProviderRatesTable[], 3, FALSE)</f>
        <v>400</v>
      </c>
      <c r="E7" s="6">
        <f>VLOOKUP($B7, CodeMinutesTable[[Code]:[Minutes]], 3, FALSE) * VLOOKUP(E$1, ProviderRatesTable[], 3, FALSE)</f>
        <v>375</v>
      </c>
      <c r="F7" s="6">
        <f>VLOOKUP($B7, CodeMinutesTable[[Code]:[Minutes]], 3, FALSE) * VLOOKUP(F$1, ProviderRatesTable[], 3, FALSE)</f>
        <v>350</v>
      </c>
      <c r="G7" s="6">
        <f>VLOOKUP($B7, CodeMinutesTable[[Code]:[Minutes]], 3, FALSE) * VLOOKUP(G$1, ProviderRatesTable[], 3, FALSE)</f>
        <v>275</v>
      </c>
      <c r="H7" s="6">
        <f>VLOOKUP($B7, CodeMinutesTable[[Code]:[Minutes]], 3, FALSE) * VLOOKUP(H$1, ProviderRatesTable[], 3, FALSE)</f>
        <v>425</v>
      </c>
      <c r="I7" s="6">
        <f>VLOOKUP($B7, CodeMinutesTable[[Code]:[Minutes]], 3, FALSE) * VLOOKUP(I$1, ProviderRatesTable[], 3, FALSE)</f>
        <v>225</v>
      </c>
      <c r="J7" s="6">
        <f>VLOOKUP($B7, CodeMinutesTable[[Code]:[Minutes]], 3, FALSE) * VLOOKUP(J$1, ProviderRatesTable[], 3, FALSE)</f>
        <v>200</v>
      </c>
      <c r="K7" s="6">
        <f>VLOOKUP($B7, CodeMinutesTable[[Code]:[Minutes]], 3, FALSE) * VLOOKUP(K$1, ProviderRatesTable[], 3, FALSE)</f>
        <v>125.00000000000001</v>
      </c>
      <c r="L7" s="6">
        <f>VLOOKUP($B7, CodeMinutesTable[[Code]:[Minutes]], 3, FALSE) * VLOOKUP(L$1, ProviderRatesTable[], 3, FALSE)</f>
        <v>100</v>
      </c>
    </row>
    <row r="8" spans="1:12" hidden="1" x14ac:dyDescent="0.25">
      <c r="A8" s="6" t="str">
        <f>INDEX(CodeMinutesTable[Frequently Used],MATCH(CodeRatesTable[[#This Row],[Billing Code]],CodeMinutesTable[Code],0))</f>
        <v>No</v>
      </c>
      <c r="B8" s="3" t="s">
        <v>47</v>
      </c>
      <c r="C8" t="s">
        <v>48</v>
      </c>
      <c r="D8" s="6">
        <f>VLOOKUP($B8, CodeMinutesTable[[Code]:[Minutes]], 3, FALSE) * VLOOKUP(D$1, ProviderRatesTable[], 3, FALSE)</f>
        <v>400</v>
      </c>
      <c r="E8" s="6" cm="1">
        <f t="array" ref="E8">_xlfn.XLOOKUP($B8,CodeMinutesTable[[Code]:[Code]],CodeMinutesTable[[Minutes]:[Minutes]]) *_xlfn.XLOOKUP(E$1,'Provider Rates'!$A$2:$A$10,'Provider Rates'!$C$2:$C$10)</f>
        <v>375</v>
      </c>
      <c r="F8" s="6" cm="1">
        <f t="array" ref="F8">_xlfn.XLOOKUP($B8,CodeMinutesTable[[Code]:[Code]],CodeMinutesTable[[Minutes]:[Minutes]]) *_xlfn.XLOOKUP(F$1,'Provider Rates'!$A$2:$A$10,'Provider Rates'!$C$2:$C$10)</f>
        <v>350</v>
      </c>
      <c r="G8" s="6" cm="1">
        <f t="array" ref="G8">_xlfn.XLOOKUP($B8,CodeMinutesTable[[Code]:[Code]],CodeMinutesTable[[Minutes]:[Minutes]]) *_xlfn.XLOOKUP(G$1,'Provider Rates'!$A$2:$A$10,'Provider Rates'!$C$2:$C$10)</f>
        <v>275</v>
      </c>
      <c r="H8" s="6" cm="1">
        <f t="array" ref="H8">_xlfn.XLOOKUP($B8,CodeMinutesTable[[Code]:[Code]],CodeMinutesTable[[Minutes]:[Minutes]]) *_xlfn.XLOOKUP(H$1,'Provider Rates'!$A$2:$A$10,'Provider Rates'!$C$2:$C$10)</f>
        <v>425</v>
      </c>
      <c r="I8" s="6" cm="1">
        <f t="array" ref="I8">_xlfn.XLOOKUP($B8,CodeMinutesTable[[Code]:[Code]],CodeMinutesTable[[Minutes]:[Minutes]]) *_xlfn.XLOOKUP(I$1,'Provider Rates'!$A$2:$A$10,'Provider Rates'!$C$2:$C$10)</f>
        <v>225</v>
      </c>
      <c r="J8" s="6" cm="1">
        <f t="array" ref="J8">_xlfn.XLOOKUP($B8,CodeMinutesTable[[Code]:[Code]],CodeMinutesTable[[Minutes]:[Minutes]]) *_xlfn.XLOOKUP(J$1,'Provider Rates'!$A$2:$A$10,'Provider Rates'!$C$2:$C$10)</f>
        <v>200</v>
      </c>
      <c r="K8" s="6" cm="1">
        <f t="array" ref="K8">_xlfn.XLOOKUP($B8,CodeMinutesTable[[Code]:[Code]],CodeMinutesTable[[Minutes]:[Minutes]]) *_xlfn.XLOOKUP(K$1,'Provider Rates'!$A$2:$A$10,'Provider Rates'!$C$2:$C$10)</f>
        <v>125.00000000000001</v>
      </c>
      <c r="L8" s="6" cm="1">
        <f t="array" ref="L8">_xlfn.XLOOKUP($B8,CodeMinutesTable[[Code]:[Code]],CodeMinutesTable[[Minutes]:[Minutes]]) *_xlfn.XLOOKUP(L$1,'Provider Rates'!$A$2:$A$10,'Provider Rates'!$C$2:$C$10)</f>
        <v>100</v>
      </c>
    </row>
    <row r="9" spans="1:12" hidden="1" x14ac:dyDescent="0.25">
      <c r="A9" s="6" t="str">
        <f>INDEX(CodeMinutesTable[Frequently Used],MATCH(CodeRatesTable[[#This Row],[Billing Code]],CodeMinutesTable[Code],0))</f>
        <v>No</v>
      </c>
      <c r="B9" s="3" t="s">
        <v>49</v>
      </c>
      <c r="C9" t="s">
        <v>50</v>
      </c>
      <c r="D9" s="6">
        <f>VLOOKUP($B9, CodeMinutesTable[[Code]:[Minutes]], 3, FALSE) * VLOOKUP(D$1, ProviderRatesTable[], 3, FALSE)</f>
        <v>400</v>
      </c>
      <c r="E9" s="6" cm="1">
        <f t="array" ref="E9">_xlfn.XLOOKUP($B9,CodeMinutesTable[[Code]:[Code]],CodeMinutesTable[[Minutes]:[Minutes]]) *_xlfn.XLOOKUP(E$1,'Provider Rates'!$A$2:$A$10,'Provider Rates'!$C$2:$C$10)</f>
        <v>375</v>
      </c>
      <c r="F9" s="6" cm="1">
        <f t="array" ref="F9">_xlfn.XLOOKUP($B9,CodeMinutesTable[[Code]:[Code]],CodeMinutesTable[[Minutes]:[Minutes]]) *_xlfn.XLOOKUP(F$1,'Provider Rates'!$A$2:$A$10,'Provider Rates'!$C$2:$C$10)</f>
        <v>350</v>
      </c>
      <c r="G9" s="6" cm="1">
        <f t="array" ref="G9">_xlfn.XLOOKUP($B9,CodeMinutesTable[[Code]:[Code]],CodeMinutesTable[[Minutes]:[Minutes]]) *_xlfn.XLOOKUP(G$1,'Provider Rates'!$A$2:$A$10,'Provider Rates'!$C$2:$C$10)</f>
        <v>275</v>
      </c>
      <c r="H9" s="6" cm="1">
        <f t="array" ref="H9">_xlfn.XLOOKUP($B9,CodeMinutesTable[[Code]:[Code]],CodeMinutesTable[[Minutes]:[Minutes]]) *_xlfn.XLOOKUP(H$1,'Provider Rates'!$A$2:$A$10,'Provider Rates'!$C$2:$C$10)</f>
        <v>425</v>
      </c>
      <c r="I9" s="6" cm="1">
        <f t="array" ref="I9">_xlfn.XLOOKUP($B9,CodeMinutesTable[[Code]:[Code]],CodeMinutesTable[[Minutes]:[Minutes]]) *_xlfn.XLOOKUP(I$1,'Provider Rates'!$A$2:$A$10,'Provider Rates'!$C$2:$C$10)</f>
        <v>225</v>
      </c>
      <c r="J9" s="6" cm="1">
        <f t="array" ref="J9">_xlfn.XLOOKUP($B9,CodeMinutesTable[[Code]:[Code]],CodeMinutesTable[[Minutes]:[Minutes]]) *_xlfn.XLOOKUP(J$1,'Provider Rates'!$A$2:$A$10,'Provider Rates'!$C$2:$C$10)</f>
        <v>200</v>
      </c>
      <c r="K9" s="6" cm="1">
        <f t="array" ref="K9">_xlfn.XLOOKUP($B9,CodeMinutesTable[[Code]:[Code]],CodeMinutesTable[[Minutes]:[Minutes]]) *_xlfn.XLOOKUP(K$1,'Provider Rates'!$A$2:$A$10,'Provider Rates'!$C$2:$C$10)</f>
        <v>125.00000000000001</v>
      </c>
      <c r="L9" s="6" cm="1">
        <f t="array" ref="L9">_xlfn.XLOOKUP($B9,CodeMinutesTable[[Code]:[Code]],CodeMinutesTable[[Minutes]:[Minutes]]) *_xlfn.XLOOKUP(L$1,'Provider Rates'!$A$2:$A$10,'Provider Rates'!$C$2:$C$10)</f>
        <v>100</v>
      </c>
    </row>
    <row r="10" spans="1:12" hidden="1" x14ac:dyDescent="0.25">
      <c r="A10" s="6" t="str">
        <f>INDEX(CodeMinutesTable[Frequently Used],MATCH(CodeRatesTable[[#This Row],[Billing Code]],CodeMinutesTable[Code],0))</f>
        <v>No</v>
      </c>
      <c r="B10" s="3" t="s">
        <v>51</v>
      </c>
      <c r="C10" t="s">
        <v>52</v>
      </c>
      <c r="D10" s="6">
        <f>VLOOKUP($B10, CodeMinutesTable[[Code]:[Minutes]], 3, FALSE) * VLOOKUP(D$1, ProviderRatesTable[], 3, FALSE)</f>
        <v>400</v>
      </c>
      <c r="E10" s="6" cm="1">
        <f t="array" ref="E10">_xlfn.XLOOKUP($B10,CodeMinutesTable[[Code]:[Code]],CodeMinutesTable[[Minutes]:[Minutes]]) *_xlfn.XLOOKUP(E$1,'Provider Rates'!$A$2:$A$10,'Provider Rates'!$C$2:$C$10)</f>
        <v>375</v>
      </c>
      <c r="F10" s="6" cm="1">
        <f t="array" ref="F10">_xlfn.XLOOKUP($B10,CodeMinutesTable[[Code]:[Code]],CodeMinutesTable[[Minutes]:[Minutes]]) *_xlfn.XLOOKUP(F$1,'Provider Rates'!$A$2:$A$10,'Provider Rates'!$C$2:$C$10)</f>
        <v>350</v>
      </c>
      <c r="G10" s="6" cm="1">
        <f t="array" ref="G10">_xlfn.XLOOKUP($B10,CodeMinutesTable[[Code]:[Code]],CodeMinutesTable[[Minutes]:[Minutes]]) *_xlfn.XLOOKUP(G$1,'Provider Rates'!$A$2:$A$10,'Provider Rates'!$C$2:$C$10)</f>
        <v>275</v>
      </c>
      <c r="H10" s="6" cm="1">
        <f t="array" ref="H10">_xlfn.XLOOKUP($B10,CodeMinutesTable[[Code]:[Code]],CodeMinutesTable[[Minutes]:[Minutes]]) *_xlfn.XLOOKUP(H$1,'Provider Rates'!$A$2:$A$10,'Provider Rates'!$C$2:$C$10)</f>
        <v>425</v>
      </c>
      <c r="I10" s="6" cm="1">
        <f t="array" ref="I10">_xlfn.XLOOKUP($B10,CodeMinutesTable[[Code]:[Code]],CodeMinutesTable[[Minutes]:[Minutes]]) *_xlfn.XLOOKUP(I$1,'Provider Rates'!$A$2:$A$10,'Provider Rates'!$C$2:$C$10)</f>
        <v>225</v>
      </c>
      <c r="J10" s="6" cm="1">
        <f t="array" ref="J10">_xlfn.XLOOKUP($B10,CodeMinutesTable[[Code]:[Code]],CodeMinutesTable[[Minutes]:[Minutes]]) *_xlfn.XLOOKUP(J$1,'Provider Rates'!$A$2:$A$10,'Provider Rates'!$C$2:$C$10)</f>
        <v>200</v>
      </c>
      <c r="K10" s="6" cm="1">
        <f t="array" ref="K10">_xlfn.XLOOKUP($B10,CodeMinutesTable[[Code]:[Code]],CodeMinutesTable[[Minutes]:[Minutes]]) *_xlfn.XLOOKUP(K$1,'Provider Rates'!$A$2:$A$10,'Provider Rates'!$C$2:$C$10)</f>
        <v>125.00000000000001</v>
      </c>
      <c r="L10" s="6" cm="1">
        <f t="array" ref="L10">_xlfn.XLOOKUP($B10,CodeMinutesTable[[Code]:[Code]],CodeMinutesTable[[Minutes]:[Minutes]]) *_xlfn.XLOOKUP(L$1,'Provider Rates'!$A$2:$A$10,'Provider Rates'!$C$2:$C$10)</f>
        <v>100</v>
      </c>
    </row>
    <row r="11" spans="1:12" hidden="1" x14ac:dyDescent="0.25">
      <c r="A11" s="6" t="str">
        <f>INDEX(CodeMinutesTable[Frequently Used],MATCH(CodeRatesTable[[#This Row],[Billing Code]],CodeMinutesTable[Code],0))</f>
        <v>No</v>
      </c>
      <c r="B11" s="3" t="s">
        <v>53</v>
      </c>
      <c r="C11" t="s">
        <v>54</v>
      </c>
      <c r="D11" s="6">
        <f>VLOOKUP($B11, CodeMinutesTable[[Code]:[Minutes]], 3, FALSE) * VLOOKUP(D$1, ProviderRatesTable[], 3, FALSE)</f>
        <v>400</v>
      </c>
      <c r="E11" s="6" cm="1">
        <f t="array" ref="E11">_xlfn.XLOOKUP($B11,CodeMinutesTable[[Code]:[Code]],CodeMinutesTable[[Minutes]:[Minutes]]) *_xlfn.XLOOKUP(E$1,'Provider Rates'!$A$2:$A$10,'Provider Rates'!$C$2:$C$10)</f>
        <v>375</v>
      </c>
      <c r="F11" s="6" cm="1">
        <f t="array" ref="F11">_xlfn.XLOOKUP($B11,CodeMinutesTable[[Code]:[Code]],CodeMinutesTable[[Minutes]:[Minutes]]) *_xlfn.XLOOKUP(F$1,'Provider Rates'!$A$2:$A$10,'Provider Rates'!$C$2:$C$10)</f>
        <v>350</v>
      </c>
      <c r="G11" s="6" cm="1">
        <f t="array" ref="G11">_xlfn.XLOOKUP($B11,CodeMinutesTable[[Code]:[Code]],CodeMinutesTable[[Minutes]:[Minutes]]) *_xlfn.XLOOKUP(G$1,'Provider Rates'!$A$2:$A$10,'Provider Rates'!$C$2:$C$10)</f>
        <v>275</v>
      </c>
      <c r="H11" s="6" cm="1">
        <f t="array" ref="H11">_xlfn.XLOOKUP($B11,CodeMinutesTable[[Code]:[Code]],CodeMinutesTable[[Minutes]:[Minutes]]) *_xlfn.XLOOKUP(H$1,'Provider Rates'!$A$2:$A$10,'Provider Rates'!$C$2:$C$10)</f>
        <v>425</v>
      </c>
      <c r="I11" s="6" cm="1">
        <f t="array" ref="I11">_xlfn.XLOOKUP($B11,CodeMinutesTable[[Code]:[Code]],CodeMinutesTable[[Minutes]:[Minutes]]) *_xlfn.XLOOKUP(I$1,'Provider Rates'!$A$2:$A$10,'Provider Rates'!$C$2:$C$10)</f>
        <v>225</v>
      </c>
      <c r="J11" s="6" cm="1">
        <f t="array" ref="J11">_xlfn.XLOOKUP($B11,CodeMinutesTable[[Code]:[Code]],CodeMinutesTable[[Minutes]:[Minutes]]) *_xlfn.XLOOKUP(J$1,'Provider Rates'!$A$2:$A$10,'Provider Rates'!$C$2:$C$10)</f>
        <v>200</v>
      </c>
      <c r="K11" s="6" cm="1">
        <f t="array" ref="K11">_xlfn.XLOOKUP($B11,CodeMinutesTable[[Code]:[Code]],CodeMinutesTable[[Minutes]:[Minutes]]) *_xlfn.XLOOKUP(K$1,'Provider Rates'!$A$2:$A$10,'Provider Rates'!$C$2:$C$10)</f>
        <v>125.00000000000001</v>
      </c>
      <c r="L11" s="6" cm="1">
        <f t="array" ref="L11">_xlfn.XLOOKUP($B11,CodeMinutesTable[[Code]:[Code]],CodeMinutesTable[[Minutes]:[Minutes]]) *_xlfn.XLOOKUP(L$1,'Provider Rates'!$A$2:$A$10,'Provider Rates'!$C$2:$C$10)</f>
        <v>100</v>
      </c>
    </row>
    <row r="12" spans="1:12" x14ac:dyDescent="0.25">
      <c r="A12" s="6" t="str">
        <f>INDEX(CodeMinutesTable[Frequently Used],MATCH(CodeRatesTable[[#This Row],[Billing Code]],CodeMinutesTable[Code],0))</f>
        <v>Yes</v>
      </c>
      <c r="B12" s="3" t="s">
        <v>55</v>
      </c>
      <c r="C12" t="s">
        <v>56</v>
      </c>
      <c r="D12" s="6">
        <f>VLOOKUP($B12, CodeMinutesTable[[Code]:[Minutes]], 3, FALSE) * VLOOKUP(D$1, ProviderRatesTable[], 3, FALSE)</f>
        <v>400</v>
      </c>
      <c r="E12" s="6">
        <f>VLOOKUP($B12, CodeMinutesTable[[Code]:[Minutes]], 3, FALSE) * VLOOKUP(E$1, ProviderRatesTable[], 3, FALSE)</f>
        <v>375</v>
      </c>
      <c r="F12" s="6">
        <f>VLOOKUP($B12, CodeMinutesTable[[Code]:[Minutes]], 3, FALSE) * VLOOKUP(F$1, ProviderRatesTable[], 3, FALSE)</f>
        <v>350</v>
      </c>
      <c r="G12" s="6">
        <f>VLOOKUP($B12, CodeMinutesTable[[Code]:[Minutes]], 3, FALSE) * VLOOKUP(G$1, ProviderRatesTable[], 3, FALSE)</f>
        <v>275</v>
      </c>
      <c r="H12" s="6">
        <f>VLOOKUP($B12, CodeMinutesTable[[Code]:[Minutes]], 3, FALSE) * VLOOKUP(H$1, ProviderRatesTable[], 3, FALSE)</f>
        <v>425</v>
      </c>
      <c r="I12" s="6">
        <f>VLOOKUP($B12, CodeMinutesTable[[Code]:[Minutes]], 3, FALSE) * VLOOKUP(I$1, ProviderRatesTable[], 3, FALSE)</f>
        <v>225</v>
      </c>
      <c r="J12" s="6">
        <f>VLOOKUP($B12, CodeMinutesTable[[Code]:[Minutes]], 3, FALSE) * VLOOKUP(J$1, ProviderRatesTable[], 3, FALSE)</f>
        <v>200</v>
      </c>
      <c r="K12" s="6">
        <f>VLOOKUP($B12, CodeMinutesTable[[Code]:[Minutes]], 3, FALSE) * VLOOKUP(K$1, ProviderRatesTable[], 3, FALSE)</f>
        <v>125.00000000000001</v>
      </c>
      <c r="L12" s="6">
        <f>VLOOKUP($B12, CodeMinutesTable[[Code]:[Minutes]], 3, FALSE) * VLOOKUP(L$1, ProviderRatesTable[], 3, FALSE)</f>
        <v>100</v>
      </c>
    </row>
    <row r="13" spans="1:12" hidden="1" x14ac:dyDescent="0.25">
      <c r="A13" s="6" t="str">
        <f>INDEX(CodeMinutesTable[Frequently Used],MATCH(CodeRatesTable[[#This Row],[Billing Code]],CodeMinutesTable[Code],0))</f>
        <v>No</v>
      </c>
      <c r="B13" s="3" t="s">
        <v>57</v>
      </c>
      <c r="C13" t="s">
        <v>58</v>
      </c>
      <c r="D13" s="6">
        <f>VLOOKUP($B13, CodeMinutesTable[[Code]:[Minutes]], 3, FALSE) * VLOOKUP(D$1, ProviderRatesTable[], 3, FALSE)</f>
        <v>1600</v>
      </c>
      <c r="E13" s="6" cm="1">
        <f t="array" ref="E13">_xlfn.XLOOKUP($B13,CodeMinutesTable[[Code]:[Code]],CodeMinutesTable[[Minutes]:[Minutes]]) *_xlfn.XLOOKUP(E$1,'Provider Rates'!$A$2:$A$10,'Provider Rates'!$C$2:$C$10)</f>
        <v>1500</v>
      </c>
      <c r="F13" s="6" cm="1">
        <f t="array" ref="F13">_xlfn.XLOOKUP($B13,CodeMinutesTable[[Code]:[Code]],CodeMinutesTable[[Minutes]:[Minutes]]) *_xlfn.XLOOKUP(F$1,'Provider Rates'!$A$2:$A$10,'Provider Rates'!$C$2:$C$10)</f>
        <v>1400</v>
      </c>
      <c r="G13" s="6" cm="1">
        <f t="array" ref="G13">_xlfn.XLOOKUP($B13,CodeMinutesTable[[Code]:[Code]],CodeMinutesTable[[Minutes]:[Minutes]]) *_xlfn.XLOOKUP(G$1,'Provider Rates'!$A$2:$A$10,'Provider Rates'!$C$2:$C$10)</f>
        <v>1100</v>
      </c>
      <c r="H13" s="6" cm="1">
        <f t="array" ref="H13">_xlfn.XLOOKUP($B13,CodeMinutesTable[[Code]:[Code]],CodeMinutesTable[[Minutes]:[Minutes]]) *_xlfn.XLOOKUP(H$1,'Provider Rates'!$A$2:$A$10,'Provider Rates'!$C$2:$C$10)</f>
        <v>1700</v>
      </c>
      <c r="I13" s="6" cm="1">
        <f t="array" ref="I13">_xlfn.XLOOKUP($B13,CodeMinutesTable[[Code]:[Code]],CodeMinutesTable[[Minutes]:[Minutes]]) *_xlfn.XLOOKUP(I$1,'Provider Rates'!$A$2:$A$10,'Provider Rates'!$C$2:$C$10)</f>
        <v>900</v>
      </c>
      <c r="J13" s="6" cm="1">
        <f t="array" ref="J13">_xlfn.XLOOKUP($B13,CodeMinutesTable[[Code]:[Code]],CodeMinutesTable[[Minutes]:[Minutes]]) *_xlfn.XLOOKUP(J$1,'Provider Rates'!$A$2:$A$10,'Provider Rates'!$C$2:$C$10)</f>
        <v>800</v>
      </c>
      <c r="K13" s="6" cm="1">
        <f t="array" ref="K13">_xlfn.XLOOKUP($B13,CodeMinutesTable[[Code]:[Code]],CodeMinutesTable[[Minutes]:[Minutes]]) *_xlfn.XLOOKUP(K$1,'Provider Rates'!$A$2:$A$10,'Provider Rates'!$C$2:$C$10)</f>
        <v>500.00000000000006</v>
      </c>
      <c r="L13" s="6" cm="1">
        <f t="array" ref="L13">_xlfn.XLOOKUP($B13,CodeMinutesTable[[Code]:[Code]],CodeMinutesTable[[Minutes]:[Minutes]]) *_xlfn.XLOOKUP(L$1,'Provider Rates'!$A$2:$A$10,'Provider Rates'!$C$2:$C$10)</f>
        <v>400</v>
      </c>
    </row>
    <row r="14" spans="1:12" hidden="1" x14ac:dyDescent="0.25">
      <c r="A14" s="6" t="str">
        <f>INDEX(CodeMinutesTable[Frequently Used],MATCH(CodeRatesTable[[#This Row],[Billing Code]],CodeMinutesTable[Code],0))</f>
        <v>No</v>
      </c>
      <c r="B14" s="3" t="s">
        <v>59</v>
      </c>
      <c r="C14" t="s">
        <v>60</v>
      </c>
      <c r="D14" s="6">
        <f>VLOOKUP($B14, CodeMinutesTable[[Code]:[Minutes]], 3, FALSE) * VLOOKUP(D$1, ProviderRatesTable[], 3, FALSE)</f>
        <v>1600</v>
      </c>
      <c r="E14" s="6" cm="1">
        <f t="array" ref="E14">_xlfn.XLOOKUP($B14,CodeMinutesTable[[Code]:[Code]],CodeMinutesTable[[Minutes]:[Minutes]]) *_xlfn.XLOOKUP(E$1,'Provider Rates'!$A$2:$A$10,'Provider Rates'!$C$2:$C$10)</f>
        <v>1500</v>
      </c>
      <c r="F14" s="6" cm="1">
        <f t="array" ref="F14">_xlfn.XLOOKUP($B14,CodeMinutesTable[[Code]:[Code]],CodeMinutesTable[[Minutes]:[Minutes]]) *_xlfn.XLOOKUP(F$1,'Provider Rates'!$A$2:$A$10,'Provider Rates'!$C$2:$C$10)</f>
        <v>1400</v>
      </c>
      <c r="G14" s="6" cm="1">
        <f t="array" ref="G14">_xlfn.XLOOKUP($B14,CodeMinutesTable[[Code]:[Code]],CodeMinutesTable[[Minutes]:[Minutes]]) *_xlfn.XLOOKUP(G$1,'Provider Rates'!$A$2:$A$10,'Provider Rates'!$C$2:$C$10)</f>
        <v>1100</v>
      </c>
      <c r="H14" s="6" cm="1">
        <f t="array" ref="H14">_xlfn.XLOOKUP($B14,CodeMinutesTable[[Code]:[Code]],CodeMinutesTable[[Minutes]:[Minutes]]) *_xlfn.XLOOKUP(H$1,'Provider Rates'!$A$2:$A$10,'Provider Rates'!$C$2:$C$10)</f>
        <v>1700</v>
      </c>
      <c r="I14" s="6" cm="1">
        <f t="array" ref="I14">_xlfn.XLOOKUP($B14,CodeMinutesTable[[Code]:[Code]],CodeMinutesTable[[Minutes]:[Minutes]]) *_xlfn.XLOOKUP(I$1,'Provider Rates'!$A$2:$A$10,'Provider Rates'!$C$2:$C$10)</f>
        <v>900</v>
      </c>
      <c r="J14" s="6" cm="1">
        <f t="array" ref="J14">_xlfn.XLOOKUP($B14,CodeMinutesTable[[Code]:[Code]],CodeMinutesTable[[Minutes]:[Minutes]]) *_xlfn.XLOOKUP(J$1,'Provider Rates'!$A$2:$A$10,'Provider Rates'!$C$2:$C$10)</f>
        <v>800</v>
      </c>
      <c r="K14" s="6" cm="1">
        <f t="array" ref="K14">_xlfn.XLOOKUP($B14,CodeMinutesTable[[Code]:[Code]],CodeMinutesTable[[Minutes]:[Minutes]]) *_xlfn.XLOOKUP(K$1,'Provider Rates'!$A$2:$A$10,'Provider Rates'!$C$2:$C$10)</f>
        <v>500.00000000000006</v>
      </c>
      <c r="L14" s="6" cm="1">
        <f t="array" ref="L14">_xlfn.XLOOKUP($B14,CodeMinutesTable[[Code]:[Code]],CodeMinutesTable[[Minutes]:[Minutes]]) *_xlfn.XLOOKUP(L$1,'Provider Rates'!$A$2:$A$10,'Provider Rates'!$C$2:$C$10)</f>
        <v>400</v>
      </c>
    </row>
    <row r="15" spans="1:12" x14ac:dyDescent="0.25">
      <c r="A15" s="6" t="str">
        <f>INDEX(CodeMinutesTable[Frequently Used],MATCH(CodeRatesTable[[#This Row],[Billing Code]],CodeMinutesTable[Code],0))</f>
        <v>Yes</v>
      </c>
      <c r="B15" s="3" t="s">
        <v>61</v>
      </c>
      <c r="C15" t="s">
        <v>62</v>
      </c>
      <c r="D15" s="6">
        <f>VLOOKUP($B15, CodeMinutesTable[[Code]:[Minutes]], 3, FALSE) * VLOOKUP(D$1, ProviderRatesTable[], 3, FALSE)</f>
        <v>400</v>
      </c>
      <c r="E15" s="6">
        <f>VLOOKUP($B15, CodeMinutesTable[[Code]:[Minutes]], 3, FALSE) * VLOOKUP(E$1, ProviderRatesTable[], 3, FALSE)</f>
        <v>375</v>
      </c>
      <c r="F15" s="6">
        <f>VLOOKUP($B15, CodeMinutesTable[[Code]:[Minutes]], 3, FALSE) * VLOOKUP(F$1, ProviderRatesTable[], 3, FALSE)</f>
        <v>350</v>
      </c>
      <c r="G15" s="6">
        <f>VLOOKUP($B15, CodeMinutesTable[[Code]:[Minutes]], 3, FALSE) * VLOOKUP(G$1, ProviderRatesTable[], 3, FALSE)</f>
        <v>275</v>
      </c>
      <c r="H15" s="6">
        <f>VLOOKUP($B15, CodeMinutesTable[[Code]:[Minutes]], 3, FALSE) * VLOOKUP(H$1, ProviderRatesTable[], 3, FALSE)</f>
        <v>425</v>
      </c>
      <c r="I15" s="6">
        <f>VLOOKUP($B15, CodeMinutesTable[[Code]:[Minutes]], 3, FALSE) * VLOOKUP(I$1, ProviderRatesTable[], 3, FALSE)</f>
        <v>225</v>
      </c>
      <c r="J15" s="6">
        <f>VLOOKUP($B15, CodeMinutesTable[[Code]:[Minutes]], 3, FALSE) * VLOOKUP(J$1, ProviderRatesTable[], 3, FALSE)</f>
        <v>200</v>
      </c>
      <c r="K15" s="6">
        <f>VLOOKUP($B15, CodeMinutesTable[[Code]:[Minutes]], 3, FALSE) * VLOOKUP(K$1, ProviderRatesTable[], 3, FALSE)</f>
        <v>125.00000000000001</v>
      </c>
      <c r="L15" s="6">
        <f>VLOOKUP($B15, CodeMinutesTable[[Code]:[Minutes]], 3, FALSE) * VLOOKUP(L$1, ProviderRatesTable[], 3, FALSE)</f>
        <v>100</v>
      </c>
    </row>
    <row r="16" spans="1:12" x14ac:dyDescent="0.25">
      <c r="A16" s="6" t="str">
        <f>INDEX(CodeMinutesTable[Frequently Used],MATCH(CodeRatesTable[[#This Row],[Billing Code]],CodeMinutesTable[Code],0))</f>
        <v>Yes</v>
      </c>
      <c r="B16" s="3" t="s">
        <v>63</v>
      </c>
      <c r="C16" t="s">
        <v>64</v>
      </c>
      <c r="D16" s="6">
        <f>VLOOKUP($B16, CodeMinutesTable[[Code]:[Minutes]], 3, FALSE) * VLOOKUP(D$1, ProviderRatesTable[], 3, FALSE)</f>
        <v>800</v>
      </c>
      <c r="E16" s="6">
        <f>VLOOKUP($B16, CodeMinutesTable[[Code]:[Minutes]], 3, FALSE) * VLOOKUP(E$1, ProviderRatesTable[], 3, FALSE)</f>
        <v>750</v>
      </c>
      <c r="F16" s="6">
        <f>VLOOKUP($B16, CodeMinutesTable[[Code]:[Minutes]], 3, FALSE) * VLOOKUP(F$1, ProviderRatesTable[], 3, FALSE)</f>
        <v>700</v>
      </c>
      <c r="G16" s="6">
        <f>VLOOKUP($B16, CodeMinutesTable[[Code]:[Minutes]], 3, FALSE) * VLOOKUP(G$1, ProviderRatesTable[], 3, FALSE)</f>
        <v>550</v>
      </c>
      <c r="H16" s="6">
        <f>VLOOKUP($B16, CodeMinutesTable[[Code]:[Minutes]], 3, FALSE) * VLOOKUP(H$1, ProviderRatesTable[], 3, FALSE)</f>
        <v>850</v>
      </c>
      <c r="I16" s="6">
        <f>VLOOKUP($B16, CodeMinutesTable[[Code]:[Minutes]], 3, FALSE) * VLOOKUP(I$1, ProviderRatesTable[], 3, FALSE)</f>
        <v>450</v>
      </c>
      <c r="J16" s="6">
        <f>VLOOKUP($B16, CodeMinutesTable[[Code]:[Minutes]], 3, FALSE) * VLOOKUP(J$1, ProviderRatesTable[], 3, FALSE)</f>
        <v>400</v>
      </c>
      <c r="K16" s="6">
        <f>VLOOKUP($B16, CodeMinutesTable[[Code]:[Minutes]], 3, FALSE) * VLOOKUP(K$1, ProviderRatesTable[], 3, FALSE)</f>
        <v>250.00000000000003</v>
      </c>
      <c r="L16" s="6">
        <f>VLOOKUP($B16, CodeMinutesTable[[Code]:[Minutes]], 3, FALSE) * VLOOKUP(L$1, ProviderRatesTable[], 3, FALSE)</f>
        <v>200</v>
      </c>
    </row>
    <row r="17" spans="1:12" x14ac:dyDescent="0.25">
      <c r="A17" s="6" t="str">
        <f>INDEX(CodeMinutesTable[Frequently Used],MATCH(CodeRatesTable[[#This Row],[Billing Code]],CodeMinutesTable[Code],0))</f>
        <v>Yes</v>
      </c>
      <c r="B17" s="3" t="s">
        <v>65</v>
      </c>
      <c r="C17" t="s">
        <v>66</v>
      </c>
      <c r="D17" s="6">
        <f>VLOOKUP($B17, CodeMinutesTable[[Code]:[Minutes]], 3, FALSE) * VLOOKUP(D$1, ProviderRatesTable[], 3, FALSE)</f>
        <v>400</v>
      </c>
      <c r="E17" s="6">
        <f>VLOOKUP($B17, CodeMinutesTable[[Code]:[Minutes]], 3, FALSE) * VLOOKUP(E$1, ProviderRatesTable[], 3, FALSE)</f>
        <v>375</v>
      </c>
      <c r="F17" s="6">
        <f>VLOOKUP($B17, CodeMinutesTable[[Code]:[Minutes]], 3, FALSE) * VLOOKUP(F$1, ProviderRatesTable[], 3, FALSE)</f>
        <v>350</v>
      </c>
      <c r="G17" s="6">
        <f>VLOOKUP($B17, CodeMinutesTable[[Code]:[Minutes]], 3, FALSE) * VLOOKUP(G$1, ProviderRatesTable[], 3, FALSE)</f>
        <v>275</v>
      </c>
      <c r="H17" s="6">
        <f>VLOOKUP($B17, CodeMinutesTable[[Code]:[Minutes]], 3, FALSE) * VLOOKUP(H$1, ProviderRatesTable[], 3, FALSE)</f>
        <v>425</v>
      </c>
      <c r="I17" s="6">
        <f>VLOOKUP($B17, CodeMinutesTable[[Code]:[Minutes]], 3, FALSE) * VLOOKUP(I$1, ProviderRatesTable[], 3, FALSE)</f>
        <v>225</v>
      </c>
      <c r="J17" s="6">
        <f>VLOOKUP($B17, CodeMinutesTable[[Code]:[Minutes]], 3, FALSE) * VLOOKUP(J$1, ProviderRatesTable[], 3, FALSE)</f>
        <v>200</v>
      </c>
      <c r="K17" s="6">
        <f>VLOOKUP($B17, CodeMinutesTable[[Code]:[Minutes]], 3, FALSE) * VLOOKUP(K$1, ProviderRatesTable[], 3, FALSE)</f>
        <v>125.00000000000001</v>
      </c>
      <c r="L17" s="6">
        <f>VLOOKUP($B17, CodeMinutesTable[[Code]:[Minutes]], 3, FALSE) * VLOOKUP(L$1, ProviderRatesTable[], 3, FALSE)</f>
        <v>100</v>
      </c>
    </row>
    <row r="18" spans="1:12" x14ac:dyDescent="0.25">
      <c r="A18" s="6" t="str">
        <f>INDEX(CodeMinutesTable[Frequently Used],MATCH(CodeRatesTable[[#This Row],[Billing Code]],CodeMinutesTable[Code],0))</f>
        <v>Yes</v>
      </c>
      <c r="B18" s="3" t="s">
        <v>67</v>
      </c>
      <c r="C18" t="s">
        <v>68</v>
      </c>
      <c r="D18" s="6">
        <f>VLOOKUP($B18, CodeMinutesTable[[Code]:[Minutes]], 3, FALSE) * VLOOKUP(D$1, ProviderRatesTable[], 3, FALSE)</f>
        <v>213.33333333333334</v>
      </c>
      <c r="E18" s="6">
        <f>VLOOKUP($B18, CodeMinutesTable[[Code]:[Minutes]], 3, FALSE) * VLOOKUP(E$1, ProviderRatesTable[], 3, FALSE)</f>
        <v>200</v>
      </c>
      <c r="F18" s="6">
        <f>VLOOKUP($B18, CodeMinutesTable[[Code]:[Minutes]], 3, FALSE) * VLOOKUP(F$1, ProviderRatesTable[], 3, FALSE)</f>
        <v>186.66666666666666</v>
      </c>
      <c r="G18" s="6">
        <f>VLOOKUP($B18, CodeMinutesTable[[Code]:[Minutes]], 3, FALSE) * VLOOKUP(G$1, ProviderRatesTable[], 3, FALSE)</f>
        <v>146.66666666666666</v>
      </c>
      <c r="H18" s="6">
        <f>VLOOKUP($B18, CodeMinutesTable[[Code]:[Minutes]], 3, FALSE) * VLOOKUP(H$1, ProviderRatesTable[], 3, FALSE)</f>
        <v>226.66666666666666</v>
      </c>
      <c r="I18" s="6">
        <f>VLOOKUP($B18, CodeMinutesTable[[Code]:[Minutes]], 3, FALSE) * VLOOKUP(I$1, ProviderRatesTable[], 3, FALSE)</f>
        <v>120</v>
      </c>
      <c r="J18" s="6">
        <f>VLOOKUP($B18, CodeMinutesTable[[Code]:[Minutes]], 3, FALSE) * VLOOKUP(J$1, ProviderRatesTable[], 3, FALSE)</f>
        <v>106.66666666666667</v>
      </c>
      <c r="K18" s="6">
        <f>VLOOKUP($B18, CodeMinutesTable[[Code]:[Minutes]], 3, FALSE) * VLOOKUP(K$1, ProviderRatesTable[], 3, FALSE)</f>
        <v>66.666666666666671</v>
      </c>
      <c r="L18" s="6">
        <f>VLOOKUP($B18, CodeMinutesTable[[Code]:[Minutes]], 3, FALSE) * VLOOKUP(L$1, ProviderRatesTable[], 3, FALSE)</f>
        <v>53.333333333333336</v>
      </c>
    </row>
    <row r="19" spans="1:12" x14ac:dyDescent="0.25">
      <c r="A19" s="6" t="str">
        <f>INDEX(CodeMinutesTable[Frequently Used],MATCH(CodeRatesTable[[#This Row],[Billing Code]],CodeMinutesTable[Code],0))</f>
        <v>Yes</v>
      </c>
      <c r="B19" s="3" t="s">
        <v>69</v>
      </c>
      <c r="C19" t="s">
        <v>70</v>
      </c>
      <c r="D19" s="6">
        <f>VLOOKUP($B19, CodeMinutesTable[[Code]:[Minutes]], 3, FALSE) * VLOOKUP(D$1, ProviderRatesTable[], 3, FALSE)</f>
        <v>426.66666666666669</v>
      </c>
      <c r="E19" s="6">
        <f>VLOOKUP($B19, CodeMinutesTable[[Code]:[Minutes]], 3, FALSE) * VLOOKUP(E$1, ProviderRatesTable[], 3, FALSE)</f>
        <v>400</v>
      </c>
      <c r="F19" s="6">
        <f>VLOOKUP($B19, CodeMinutesTable[[Code]:[Minutes]], 3, FALSE) * VLOOKUP(F$1, ProviderRatesTable[], 3, FALSE)</f>
        <v>373.33333333333331</v>
      </c>
      <c r="G19" s="6">
        <f>VLOOKUP($B19, CodeMinutesTable[[Code]:[Minutes]], 3, FALSE) * VLOOKUP(G$1, ProviderRatesTable[], 3, FALSE)</f>
        <v>293.33333333333331</v>
      </c>
      <c r="H19" s="6">
        <f>VLOOKUP($B19, CodeMinutesTable[[Code]:[Minutes]], 3, FALSE) * VLOOKUP(H$1, ProviderRatesTable[], 3, FALSE)</f>
        <v>453.33333333333331</v>
      </c>
      <c r="I19" s="6">
        <f>VLOOKUP($B19, CodeMinutesTable[[Code]:[Minutes]], 3, FALSE) * VLOOKUP(I$1, ProviderRatesTable[], 3, FALSE)</f>
        <v>240</v>
      </c>
      <c r="J19" s="6">
        <f>VLOOKUP($B19, CodeMinutesTable[[Code]:[Minutes]], 3, FALSE) * VLOOKUP(J$1, ProviderRatesTable[], 3, FALSE)</f>
        <v>213.33333333333334</v>
      </c>
      <c r="K19" s="6">
        <f>VLOOKUP($B19, CodeMinutesTable[[Code]:[Minutes]], 3, FALSE) * VLOOKUP(K$1, ProviderRatesTable[], 3, FALSE)</f>
        <v>133.33333333333334</v>
      </c>
      <c r="L19" s="6">
        <f>VLOOKUP($B19, CodeMinutesTable[[Code]:[Minutes]], 3, FALSE) * VLOOKUP(L$1, ProviderRatesTable[], 3, FALSE)</f>
        <v>106.66666666666667</v>
      </c>
    </row>
    <row r="20" spans="1:12" x14ac:dyDescent="0.25">
      <c r="A20" s="6" t="str">
        <f>INDEX(CodeMinutesTable[Frequently Used],MATCH(CodeRatesTable[[#This Row],[Billing Code]],CodeMinutesTable[Code],0))</f>
        <v>Yes</v>
      </c>
      <c r="B20" s="3" t="s">
        <v>71</v>
      </c>
      <c r="C20" t="s">
        <v>72</v>
      </c>
      <c r="D20" s="6">
        <f>VLOOKUP($B20, CodeMinutesTable[[Code]:[Minutes]], 3, FALSE) * VLOOKUP(D$1, ProviderRatesTable[], 3, FALSE)</f>
        <v>693.33333333333337</v>
      </c>
      <c r="E20" s="6">
        <f>VLOOKUP($B20, CodeMinutesTable[[Code]:[Minutes]], 3, FALSE) * VLOOKUP(E$1, ProviderRatesTable[], 3, FALSE)</f>
        <v>650</v>
      </c>
      <c r="F20" s="6">
        <f>VLOOKUP($B20, CodeMinutesTable[[Code]:[Minutes]], 3, FALSE) * VLOOKUP(F$1, ProviderRatesTable[], 3, FALSE)</f>
        <v>606.66666666666663</v>
      </c>
      <c r="G20" s="6">
        <f>VLOOKUP($B20, CodeMinutesTable[[Code]:[Minutes]], 3, FALSE) * VLOOKUP(G$1, ProviderRatesTable[], 3, FALSE)</f>
        <v>476.66666666666663</v>
      </c>
      <c r="H20" s="6">
        <f>VLOOKUP($B20, CodeMinutesTable[[Code]:[Minutes]], 3, FALSE) * VLOOKUP(H$1, ProviderRatesTable[], 3, FALSE)</f>
        <v>736.66666666666663</v>
      </c>
      <c r="I20" s="6">
        <f>VLOOKUP($B20, CodeMinutesTable[[Code]:[Minutes]], 3, FALSE) * VLOOKUP(I$1, ProviderRatesTable[], 3, FALSE)</f>
        <v>390</v>
      </c>
      <c r="J20" s="6">
        <f>VLOOKUP($B20, CodeMinutesTable[[Code]:[Minutes]], 3, FALSE) * VLOOKUP(J$1, ProviderRatesTable[], 3, FALSE)</f>
        <v>346.66666666666669</v>
      </c>
      <c r="K20" s="6">
        <f>VLOOKUP($B20, CodeMinutesTable[[Code]:[Minutes]], 3, FALSE) * VLOOKUP(K$1, ProviderRatesTable[], 3, FALSE)</f>
        <v>216.66666666666669</v>
      </c>
      <c r="L20" s="6">
        <f>VLOOKUP($B20, CodeMinutesTable[[Code]:[Minutes]], 3, FALSE) * VLOOKUP(L$1, ProviderRatesTable[], 3, FALSE)</f>
        <v>173.33333333333334</v>
      </c>
    </row>
    <row r="21" spans="1:12" x14ac:dyDescent="0.25">
      <c r="A21" s="6" t="str">
        <f>INDEX(CodeMinutesTable[Frequently Used],MATCH(CodeRatesTable[[#This Row],[Billing Code]],CodeMinutesTable[Code],0))</f>
        <v>Yes</v>
      </c>
      <c r="B21" s="3" t="s">
        <v>73</v>
      </c>
      <c r="C21" t="s">
        <v>74</v>
      </c>
      <c r="D21" s="6">
        <f>VLOOKUP($B21, CodeMinutesTable[[Code]:[Minutes]], 3, FALSE) * VLOOKUP(D$1, ProviderRatesTable[], 3, FALSE)</f>
        <v>586.66666666666674</v>
      </c>
      <c r="E21" s="6">
        <f>VLOOKUP($B21, CodeMinutesTable[[Code]:[Minutes]], 3, FALSE) * VLOOKUP(E$1, ProviderRatesTable[], 3, FALSE)</f>
        <v>550</v>
      </c>
      <c r="F21" s="6">
        <f>VLOOKUP($B21, CodeMinutesTable[[Code]:[Minutes]], 3, FALSE) * VLOOKUP(F$1, ProviderRatesTable[], 3, FALSE)</f>
        <v>513.33333333333326</v>
      </c>
      <c r="G21" s="6">
        <f>VLOOKUP($B21, CodeMinutesTable[[Code]:[Minutes]], 3, FALSE) * VLOOKUP(G$1, ProviderRatesTable[], 3, FALSE)</f>
        <v>403.33333333333331</v>
      </c>
      <c r="H21" s="6">
        <f>VLOOKUP($B21, CodeMinutesTable[[Code]:[Minutes]], 3, FALSE) * VLOOKUP(H$1, ProviderRatesTable[], 3, FALSE)</f>
        <v>623.33333333333326</v>
      </c>
      <c r="I21" s="6">
        <f>VLOOKUP($B21, CodeMinutesTable[[Code]:[Minutes]], 3, FALSE) * VLOOKUP(I$1, ProviderRatesTable[], 3, FALSE)</f>
        <v>330</v>
      </c>
      <c r="J21" s="6">
        <f>VLOOKUP($B21, CodeMinutesTable[[Code]:[Minutes]], 3, FALSE) * VLOOKUP(J$1, ProviderRatesTable[], 3, FALSE)</f>
        <v>293.33333333333337</v>
      </c>
      <c r="K21" s="6">
        <f>VLOOKUP($B21, CodeMinutesTable[[Code]:[Minutes]], 3, FALSE) * VLOOKUP(K$1, ProviderRatesTable[], 3, FALSE)</f>
        <v>183.33333333333334</v>
      </c>
      <c r="L21" s="6">
        <f>VLOOKUP($B21, CodeMinutesTable[[Code]:[Minutes]], 3, FALSE) * VLOOKUP(L$1, ProviderRatesTable[], 3, FALSE)</f>
        <v>146.66666666666669</v>
      </c>
    </row>
    <row r="22" spans="1:12" x14ac:dyDescent="0.25">
      <c r="A22" s="6" t="str">
        <f>INDEX(CodeMinutesTable[Frequently Used],MATCH(CodeRatesTable[[#This Row],[Billing Code]],CodeMinutesTable[Code],0))</f>
        <v>Yes</v>
      </c>
      <c r="B22" s="3" t="s">
        <v>75</v>
      </c>
      <c r="C22" t="s">
        <v>76</v>
      </c>
      <c r="D22" s="6">
        <f>VLOOKUP($B22, CodeMinutesTable[[Code]:[Minutes]], 3, FALSE) * VLOOKUP(D$1, ProviderRatesTable[], 3, FALSE)</f>
        <v>986.66666666666674</v>
      </c>
      <c r="E22" s="6">
        <f>VLOOKUP($B22, CodeMinutesTable[[Code]:[Minutes]], 3, FALSE) * VLOOKUP(E$1, ProviderRatesTable[], 3, FALSE)</f>
        <v>925</v>
      </c>
      <c r="F22" s="6">
        <f>VLOOKUP($B22, CodeMinutesTable[[Code]:[Minutes]], 3, FALSE) * VLOOKUP(F$1, ProviderRatesTable[], 3, FALSE)</f>
        <v>863.33333333333326</v>
      </c>
      <c r="G22" s="6">
        <f>VLOOKUP($B22, CodeMinutesTable[[Code]:[Minutes]], 3, FALSE) * VLOOKUP(G$1, ProviderRatesTable[], 3, FALSE)</f>
        <v>678.33333333333326</v>
      </c>
      <c r="H22" s="6">
        <f>VLOOKUP($B22, CodeMinutesTable[[Code]:[Minutes]], 3, FALSE) * VLOOKUP(H$1, ProviderRatesTable[], 3, FALSE)</f>
        <v>1048.3333333333333</v>
      </c>
      <c r="I22" s="6">
        <f>VLOOKUP($B22, CodeMinutesTable[[Code]:[Minutes]], 3, FALSE) * VLOOKUP(I$1, ProviderRatesTable[], 3, FALSE)</f>
        <v>555</v>
      </c>
      <c r="J22" s="6">
        <f>VLOOKUP($B22, CodeMinutesTable[[Code]:[Minutes]], 3, FALSE) * VLOOKUP(J$1, ProviderRatesTable[], 3, FALSE)</f>
        <v>493.33333333333337</v>
      </c>
      <c r="K22" s="6">
        <f>VLOOKUP($B22, CodeMinutesTable[[Code]:[Minutes]], 3, FALSE) * VLOOKUP(K$1, ProviderRatesTable[], 3, FALSE)</f>
        <v>308.33333333333337</v>
      </c>
      <c r="L22" s="6">
        <f>VLOOKUP($B22, CodeMinutesTable[[Code]:[Minutes]], 3, FALSE) * VLOOKUP(L$1, ProviderRatesTable[], 3, FALSE)</f>
        <v>246.66666666666669</v>
      </c>
    </row>
    <row r="23" spans="1:12" x14ac:dyDescent="0.25">
      <c r="A23" s="6" t="str">
        <f>INDEX(CodeMinutesTable[Frequently Used],MATCH(CodeRatesTable[[#This Row],[Billing Code]],CodeMinutesTable[Code],0))</f>
        <v>Yes</v>
      </c>
      <c r="B23" s="3" t="s">
        <v>77</v>
      </c>
      <c r="C23" t="s">
        <v>78</v>
      </c>
      <c r="D23" s="6">
        <f>VLOOKUP($B23, CodeMinutesTable[[Code]:[Minutes]], 3, FALSE) * VLOOKUP(D$1, ProviderRatesTable[], 3, FALSE)</f>
        <v>1386.6666666666667</v>
      </c>
      <c r="E23" s="6">
        <f>VLOOKUP($B23, CodeMinutesTable[[Code]:[Minutes]], 3, FALSE) * VLOOKUP(E$1, ProviderRatesTable[], 3, FALSE)</f>
        <v>1300</v>
      </c>
      <c r="F23" s="6">
        <f>VLOOKUP($B23, CodeMinutesTable[[Code]:[Minutes]], 3, FALSE) * VLOOKUP(F$1, ProviderRatesTable[], 3, FALSE)</f>
        <v>1213.3333333333333</v>
      </c>
      <c r="G23" s="6">
        <f>VLOOKUP($B23, CodeMinutesTable[[Code]:[Minutes]], 3, FALSE) * VLOOKUP(G$1, ProviderRatesTable[], 3, FALSE)</f>
        <v>953.33333333333326</v>
      </c>
      <c r="H23" s="6">
        <f>VLOOKUP($B23, CodeMinutesTable[[Code]:[Minutes]], 3, FALSE) * VLOOKUP(H$1, ProviderRatesTable[], 3, FALSE)</f>
        <v>1473.3333333333333</v>
      </c>
      <c r="I23" s="6">
        <f>VLOOKUP($B23, CodeMinutesTable[[Code]:[Minutes]], 3, FALSE) * VLOOKUP(I$1, ProviderRatesTable[], 3, FALSE)</f>
        <v>780</v>
      </c>
      <c r="J23" s="6">
        <f>VLOOKUP($B23, CodeMinutesTable[[Code]:[Minutes]], 3, FALSE) * VLOOKUP(J$1, ProviderRatesTable[], 3, FALSE)</f>
        <v>693.33333333333337</v>
      </c>
      <c r="K23" s="6">
        <f>VLOOKUP($B23, CodeMinutesTable[[Code]:[Minutes]], 3, FALSE) * VLOOKUP(K$1, ProviderRatesTable[], 3, FALSE)</f>
        <v>433.33333333333337</v>
      </c>
      <c r="L23" s="6">
        <f>VLOOKUP($B23, CodeMinutesTable[[Code]:[Minutes]], 3, FALSE) * VLOOKUP(L$1, ProviderRatesTable[], 3, FALSE)</f>
        <v>346.66666666666669</v>
      </c>
    </row>
    <row r="24" spans="1:12" x14ac:dyDescent="0.25">
      <c r="A24" s="6" t="str">
        <f>INDEX(CodeMinutesTable[Frequently Used],MATCH(CodeRatesTable[[#This Row],[Billing Code]],CodeMinutesTable[Code],0))</f>
        <v>Yes</v>
      </c>
      <c r="B24" s="3" t="s">
        <v>79</v>
      </c>
      <c r="C24" t="s">
        <v>80</v>
      </c>
      <c r="D24" s="6">
        <f>VLOOKUP($B24, CodeMinutesTable[[Code]:[Minutes]], 3, FALSE) * VLOOKUP(D$1, ProviderRatesTable[], 3, FALSE)</f>
        <v>1786.6666666666667</v>
      </c>
      <c r="E24" s="6">
        <f>VLOOKUP($B24, CodeMinutesTable[[Code]:[Minutes]], 3, FALSE) * VLOOKUP(E$1, ProviderRatesTable[], 3, FALSE)</f>
        <v>1675</v>
      </c>
      <c r="F24" s="6">
        <f>VLOOKUP($B24, CodeMinutesTable[[Code]:[Minutes]], 3, FALSE) * VLOOKUP(F$1, ProviderRatesTable[], 3, FALSE)</f>
        <v>1563.3333333333333</v>
      </c>
      <c r="G24" s="6">
        <f>VLOOKUP($B24, CodeMinutesTable[[Code]:[Minutes]], 3, FALSE) * VLOOKUP(G$1, ProviderRatesTable[], 3, FALSE)</f>
        <v>1228.3333333333333</v>
      </c>
      <c r="H24" s="6">
        <f>VLOOKUP($B24, CodeMinutesTable[[Code]:[Minutes]], 3, FALSE) * VLOOKUP(H$1, ProviderRatesTable[], 3, FALSE)</f>
        <v>1898.3333333333333</v>
      </c>
      <c r="I24" s="6">
        <f>VLOOKUP($B24, CodeMinutesTable[[Code]:[Minutes]], 3, FALSE) * VLOOKUP(I$1, ProviderRatesTable[], 3, FALSE)</f>
        <v>1005</v>
      </c>
      <c r="J24" s="6">
        <f>VLOOKUP($B24, CodeMinutesTable[[Code]:[Minutes]], 3, FALSE) * VLOOKUP(J$1, ProviderRatesTable[], 3, FALSE)</f>
        <v>893.33333333333337</v>
      </c>
      <c r="K24" s="6">
        <f>VLOOKUP($B24, CodeMinutesTable[[Code]:[Minutes]], 3, FALSE) * VLOOKUP(K$1, ProviderRatesTable[], 3, FALSE)</f>
        <v>558.33333333333337</v>
      </c>
      <c r="L24" s="6">
        <f>VLOOKUP($B24, CodeMinutesTable[[Code]:[Minutes]], 3, FALSE) * VLOOKUP(L$1, ProviderRatesTable[], 3, FALSE)</f>
        <v>446.66666666666669</v>
      </c>
    </row>
    <row r="25" spans="1:12" x14ac:dyDescent="0.25">
      <c r="A25" s="6" t="str">
        <f>INDEX(CodeMinutesTable[Frequently Used],MATCH(CodeRatesTable[[#This Row],[Billing Code]],CodeMinutesTable[Code],0))</f>
        <v>Yes</v>
      </c>
      <c r="B25" s="3" t="s">
        <v>81</v>
      </c>
      <c r="C25" t="s">
        <v>82</v>
      </c>
      <c r="D25" s="6">
        <f>VLOOKUP($B25, CodeMinutesTable[[Code]:[Minutes]], 3, FALSE) * VLOOKUP(D$1, ProviderRatesTable[], 3, FALSE)</f>
        <v>400</v>
      </c>
      <c r="E25" s="6">
        <f>VLOOKUP($B25, CodeMinutesTable[[Code]:[Minutes]], 3, FALSE) * VLOOKUP(E$1, ProviderRatesTable[], 3, FALSE)</f>
        <v>375</v>
      </c>
      <c r="F25" s="6">
        <f>VLOOKUP($B25, CodeMinutesTable[[Code]:[Minutes]], 3, FALSE) * VLOOKUP(F$1, ProviderRatesTable[], 3, FALSE)</f>
        <v>350</v>
      </c>
      <c r="G25" s="6">
        <f>VLOOKUP($B25, CodeMinutesTable[[Code]:[Minutes]], 3, FALSE) * VLOOKUP(G$1, ProviderRatesTable[], 3, FALSE)</f>
        <v>275</v>
      </c>
      <c r="H25" s="6">
        <f>VLOOKUP($B25, CodeMinutesTable[[Code]:[Minutes]], 3, FALSE) * VLOOKUP(H$1, ProviderRatesTable[], 3, FALSE)</f>
        <v>425</v>
      </c>
      <c r="I25" s="6">
        <f>VLOOKUP($B25, CodeMinutesTable[[Code]:[Minutes]], 3, FALSE) * VLOOKUP(I$1, ProviderRatesTable[], 3, FALSE)</f>
        <v>225</v>
      </c>
      <c r="J25" s="6">
        <f>VLOOKUP($B25, CodeMinutesTable[[Code]:[Minutes]], 3, FALSE) * VLOOKUP(J$1, ProviderRatesTable[], 3, FALSE)</f>
        <v>200</v>
      </c>
      <c r="K25" s="6">
        <f>VLOOKUP($B25, CodeMinutesTable[[Code]:[Minutes]], 3, FALSE) * VLOOKUP(K$1, ProviderRatesTable[], 3, FALSE)</f>
        <v>125.00000000000001</v>
      </c>
      <c r="L25" s="6">
        <f>VLOOKUP($B25, CodeMinutesTable[[Code]:[Minutes]], 3, FALSE) * VLOOKUP(L$1, ProviderRatesTable[], 3, FALSE)</f>
        <v>100</v>
      </c>
    </row>
    <row r="26" spans="1:12" x14ac:dyDescent="0.25">
      <c r="A26" s="6" t="str">
        <f>INDEX(CodeMinutesTable[Frequently Used],MATCH(CodeRatesTable[[#This Row],[Billing Code]],CodeMinutesTable[Code],0))</f>
        <v>Yes</v>
      </c>
      <c r="B26" s="3" t="s">
        <v>83</v>
      </c>
      <c r="C26" t="s">
        <v>84</v>
      </c>
      <c r="D26" s="6">
        <f>VLOOKUP($B26, CodeMinutesTable[[Code]:[Minutes]], 3, FALSE) * VLOOKUP(D$1, ProviderRatesTable[], 3, FALSE)</f>
        <v>666.66666666666674</v>
      </c>
      <c r="E26" s="6">
        <f>VLOOKUP($B26, CodeMinutesTable[[Code]:[Minutes]], 3, FALSE) * VLOOKUP(E$1, ProviderRatesTable[], 3, FALSE)</f>
        <v>625</v>
      </c>
      <c r="F26" s="6">
        <f>VLOOKUP($B26, CodeMinutesTable[[Code]:[Minutes]], 3, FALSE) * VLOOKUP(F$1, ProviderRatesTable[], 3, FALSE)</f>
        <v>583.33333333333326</v>
      </c>
      <c r="G26" s="6">
        <f>VLOOKUP($B26, CodeMinutesTable[[Code]:[Minutes]], 3, FALSE) * VLOOKUP(G$1, ProviderRatesTable[], 3, FALSE)</f>
        <v>458.33333333333331</v>
      </c>
      <c r="H26" s="6">
        <f>VLOOKUP($B26, CodeMinutesTable[[Code]:[Minutes]], 3, FALSE) * VLOOKUP(H$1, ProviderRatesTable[], 3, FALSE)</f>
        <v>708.33333333333326</v>
      </c>
      <c r="I26" s="6">
        <f>VLOOKUP($B26, CodeMinutesTable[[Code]:[Minutes]], 3, FALSE) * VLOOKUP(I$1, ProviderRatesTable[], 3, FALSE)</f>
        <v>375</v>
      </c>
      <c r="J26" s="6">
        <f>VLOOKUP($B26, CodeMinutesTable[[Code]:[Minutes]], 3, FALSE) * VLOOKUP(J$1, ProviderRatesTable[], 3, FALSE)</f>
        <v>333.33333333333337</v>
      </c>
      <c r="K26" s="6">
        <f>VLOOKUP($B26, CodeMinutesTable[[Code]:[Minutes]], 3, FALSE) * VLOOKUP(K$1, ProviderRatesTable[], 3, FALSE)</f>
        <v>208.33333333333334</v>
      </c>
      <c r="L26" s="6">
        <f>VLOOKUP($B26, CodeMinutesTable[[Code]:[Minutes]], 3, FALSE) * VLOOKUP(L$1, ProviderRatesTable[], 3, FALSE)</f>
        <v>166.66666666666669</v>
      </c>
    </row>
    <row r="27" spans="1:12" x14ac:dyDescent="0.25">
      <c r="A27" s="6" t="str">
        <f>INDEX(CodeMinutesTable[Frequently Used],MATCH(CodeRatesTable[[#This Row],[Billing Code]],CodeMinutesTable[Code],0))</f>
        <v>Yes</v>
      </c>
      <c r="B27" s="3" t="s">
        <v>85</v>
      </c>
      <c r="C27" t="s">
        <v>86</v>
      </c>
      <c r="D27" s="6">
        <f>VLOOKUP($B27, CodeMinutesTable[[Code]:[Minutes]], 3, FALSE) * VLOOKUP(D$1, ProviderRatesTable[], 3, FALSE)</f>
        <v>933.33333333333337</v>
      </c>
      <c r="E27" s="6">
        <f>VLOOKUP($B27, CodeMinutesTable[[Code]:[Minutes]], 3, FALSE) * VLOOKUP(E$1, ProviderRatesTable[], 3, FALSE)</f>
        <v>875</v>
      </c>
      <c r="F27" s="6">
        <f>VLOOKUP($B27, CodeMinutesTable[[Code]:[Minutes]], 3, FALSE) * VLOOKUP(F$1, ProviderRatesTable[], 3, FALSE)</f>
        <v>816.66666666666663</v>
      </c>
      <c r="G27" s="6">
        <f>VLOOKUP($B27, CodeMinutesTable[[Code]:[Minutes]], 3, FALSE) * VLOOKUP(G$1, ProviderRatesTable[], 3, FALSE)</f>
        <v>641.66666666666663</v>
      </c>
      <c r="H27" s="6">
        <f>VLOOKUP($B27, CodeMinutesTable[[Code]:[Minutes]], 3, FALSE) * VLOOKUP(H$1, ProviderRatesTable[], 3, FALSE)</f>
        <v>991.66666666666663</v>
      </c>
      <c r="I27" s="6">
        <f>VLOOKUP($B27, CodeMinutesTable[[Code]:[Minutes]], 3, FALSE) * VLOOKUP(I$1, ProviderRatesTable[], 3, FALSE)</f>
        <v>525</v>
      </c>
      <c r="J27" s="6">
        <f>VLOOKUP($B27, CodeMinutesTable[[Code]:[Minutes]], 3, FALSE) * VLOOKUP(J$1, ProviderRatesTable[], 3, FALSE)</f>
        <v>466.66666666666669</v>
      </c>
      <c r="K27" s="6">
        <f>VLOOKUP($B27, CodeMinutesTable[[Code]:[Minutes]], 3, FALSE) * VLOOKUP(K$1, ProviderRatesTable[], 3, FALSE)</f>
        <v>291.66666666666669</v>
      </c>
      <c r="L27" s="6">
        <f>VLOOKUP($B27, CodeMinutesTable[[Code]:[Minutes]], 3, FALSE) * VLOOKUP(L$1, ProviderRatesTable[], 3, FALSE)</f>
        <v>233.33333333333334</v>
      </c>
    </row>
    <row r="28" spans="1:12" x14ac:dyDescent="0.25">
      <c r="A28" s="6" t="str">
        <f>INDEX(CodeMinutesTable[Frequently Used],MATCH(CodeRatesTable[[#This Row],[Billing Code]],CodeMinutesTable[Code],0))</f>
        <v>Yes</v>
      </c>
      <c r="B28" s="3" t="s">
        <v>87</v>
      </c>
      <c r="C28" t="s">
        <v>88</v>
      </c>
      <c r="D28" s="6">
        <f>VLOOKUP($B28, CodeMinutesTable[[Code]:[Minutes]], 3, FALSE) * VLOOKUP(D$1, ProviderRatesTable[], 3, FALSE)</f>
        <v>1253.3333333333335</v>
      </c>
      <c r="E28" s="6">
        <f>VLOOKUP($B28, CodeMinutesTable[[Code]:[Minutes]], 3, FALSE) * VLOOKUP(E$1, ProviderRatesTable[], 3, FALSE)</f>
        <v>1175</v>
      </c>
      <c r="F28" s="6">
        <f>VLOOKUP($B28, CodeMinutesTable[[Code]:[Minutes]], 3, FALSE) * VLOOKUP(F$1, ProviderRatesTable[], 3, FALSE)</f>
        <v>1096.6666666666665</v>
      </c>
      <c r="G28" s="6">
        <f>VLOOKUP($B28, CodeMinutesTable[[Code]:[Minutes]], 3, FALSE) * VLOOKUP(G$1, ProviderRatesTable[], 3, FALSE)</f>
        <v>861.66666666666663</v>
      </c>
      <c r="H28" s="6">
        <f>VLOOKUP($B28, CodeMinutesTable[[Code]:[Minutes]], 3, FALSE) * VLOOKUP(H$1, ProviderRatesTable[], 3, FALSE)</f>
        <v>1331.6666666666665</v>
      </c>
      <c r="I28" s="6">
        <f>VLOOKUP($B28, CodeMinutesTable[[Code]:[Minutes]], 3, FALSE) * VLOOKUP(I$1, ProviderRatesTable[], 3, FALSE)</f>
        <v>705</v>
      </c>
      <c r="J28" s="6">
        <f>VLOOKUP($B28, CodeMinutesTable[[Code]:[Minutes]], 3, FALSE) * VLOOKUP(J$1, ProviderRatesTable[], 3, FALSE)</f>
        <v>626.66666666666674</v>
      </c>
      <c r="K28" s="6">
        <f>VLOOKUP($B28, CodeMinutesTable[[Code]:[Minutes]], 3, FALSE) * VLOOKUP(K$1, ProviderRatesTable[], 3, FALSE)</f>
        <v>391.66666666666669</v>
      </c>
      <c r="L28" s="6">
        <f>VLOOKUP($B28, CodeMinutesTable[[Code]:[Minutes]], 3, FALSE) * VLOOKUP(L$1, ProviderRatesTable[], 3, FALSE)</f>
        <v>313.33333333333337</v>
      </c>
    </row>
    <row r="29" spans="1:12" hidden="1" x14ac:dyDescent="0.25">
      <c r="A29" s="6" t="str">
        <f>INDEX(CodeMinutesTable[Frequently Used],MATCH(CodeRatesTable[[#This Row],[Billing Code]],CodeMinutesTable[Code],0))</f>
        <v>No</v>
      </c>
      <c r="B29" s="3" t="s">
        <v>89</v>
      </c>
      <c r="C29" t="s">
        <v>90</v>
      </c>
      <c r="D29" s="6">
        <f>VLOOKUP($B29, CodeMinutesTable[[Code]:[Minutes]], 3, FALSE) * VLOOKUP(D$1, ProviderRatesTable[], 3, FALSE)</f>
        <v>400</v>
      </c>
      <c r="E29" s="6" cm="1">
        <f t="array" ref="E29">_xlfn.XLOOKUP($B29,CodeMinutesTable[[Code]:[Code]],CodeMinutesTable[[Minutes]:[Minutes]]) *_xlfn.XLOOKUP(E$1,'Provider Rates'!$A$2:$A$10,'Provider Rates'!$C$2:$C$10)</f>
        <v>375</v>
      </c>
      <c r="F29" s="6" cm="1">
        <f t="array" ref="F29">_xlfn.XLOOKUP($B29,CodeMinutesTable[[Code]:[Code]],CodeMinutesTable[[Minutes]:[Minutes]]) *_xlfn.XLOOKUP(F$1,'Provider Rates'!$A$2:$A$10,'Provider Rates'!$C$2:$C$10)</f>
        <v>350</v>
      </c>
      <c r="G29" s="6" cm="1">
        <f t="array" ref="G29">_xlfn.XLOOKUP($B29,CodeMinutesTable[[Code]:[Code]],CodeMinutesTable[[Minutes]:[Minutes]]) *_xlfn.XLOOKUP(G$1,'Provider Rates'!$A$2:$A$10,'Provider Rates'!$C$2:$C$10)</f>
        <v>275</v>
      </c>
      <c r="H29" s="6" cm="1">
        <f t="array" ref="H29">_xlfn.XLOOKUP($B29,CodeMinutesTable[[Code]:[Code]],CodeMinutesTable[[Minutes]:[Minutes]]) *_xlfn.XLOOKUP(H$1,'Provider Rates'!$A$2:$A$10,'Provider Rates'!$C$2:$C$10)</f>
        <v>425</v>
      </c>
      <c r="I29" s="6" cm="1">
        <f t="array" ref="I29">_xlfn.XLOOKUP($B29,CodeMinutesTable[[Code]:[Code]],CodeMinutesTable[[Minutes]:[Minutes]]) *_xlfn.XLOOKUP(I$1,'Provider Rates'!$A$2:$A$10,'Provider Rates'!$C$2:$C$10)</f>
        <v>225</v>
      </c>
      <c r="J29" s="6" cm="1">
        <f t="array" ref="J29">_xlfn.XLOOKUP($B29,CodeMinutesTable[[Code]:[Code]],CodeMinutesTable[[Minutes]:[Minutes]]) *_xlfn.XLOOKUP(J$1,'Provider Rates'!$A$2:$A$10,'Provider Rates'!$C$2:$C$10)</f>
        <v>200</v>
      </c>
      <c r="K29" s="6" cm="1">
        <f t="array" ref="K29">_xlfn.XLOOKUP($B29,CodeMinutesTable[[Code]:[Code]],CodeMinutesTable[[Minutes]:[Minutes]]) *_xlfn.XLOOKUP(K$1,'Provider Rates'!$A$2:$A$10,'Provider Rates'!$C$2:$C$10)</f>
        <v>125.00000000000001</v>
      </c>
      <c r="L29" s="6" cm="1">
        <f t="array" ref="L29">_xlfn.XLOOKUP($B29,CodeMinutesTable[[Code]:[Code]],CodeMinutesTable[[Minutes]:[Minutes]]) *_xlfn.XLOOKUP(L$1,'Provider Rates'!$A$2:$A$10,'Provider Rates'!$C$2:$C$10)</f>
        <v>100</v>
      </c>
    </row>
    <row r="30" spans="1:12" hidden="1" x14ac:dyDescent="0.25">
      <c r="A30" s="6" t="str">
        <f>INDEX(CodeMinutesTable[Frequently Used],MATCH(CodeRatesTable[[#This Row],[Billing Code]],CodeMinutesTable[Code],0))</f>
        <v>No</v>
      </c>
      <c r="B30" s="3" t="s">
        <v>91</v>
      </c>
      <c r="C30" t="s">
        <v>92</v>
      </c>
      <c r="D30" s="6">
        <f>VLOOKUP($B30, CodeMinutesTable[[Code]:[Minutes]], 3, FALSE) * VLOOKUP(D$1, ProviderRatesTable[], 3, FALSE)</f>
        <v>1066.6666666666667</v>
      </c>
      <c r="E30" s="6" cm="1">
        <f t="array" ref="E30">_xlfn.XLOOKUP($B30,CodeMinutesTable[[Code]:[Code]],CodeMinutesTable[[Minutes]:[Minutes]]) *_xlfn.XLOOKUP(E$1,'Provider Rates'!$A$2:$A$10,'Provider Rates'!$C$2:$C$10)</f>
        <v>1000</v>
      </c>
      <c r="F30" s="6" cm="1">
        <f t="array" ref="F30">_xlfn.XLOOKUP($B30,CodeMinutesTable[[Code]:[Code]],CodeMinutesTable[[Minutes]:[Minutes]]) *_xlfn.XLOOKUP(F$1,'Provider Rates'!$A$2:$A$10,'Provider Rates'!$C$2:$C$10)</f>
        <v>933.33333333333326</v>
      </c>
      <c r="G30" s="6" cm="1">
        <f t="array" ref="G30">_xlfn.XLOOKUP($B30,CodeMinutesTable[[Code]:[Code]],CodeMinutesTable[[Minutes]:[Minutes]]) *_xlfn.XLOOKUP(G$1,'Provider Rates'!$A$2:$A$10,'Provider Rates'!$C$2:$C$10)</f>
        <v>733.33333333333326</v>
      </c>
      <c r="H30" s="6" cm="1">
        <f t="array" ref="H30">_xlfn.XLOOKUP($B30,CodeMinutesTable[[Code]:[Code]],CodeMinutesTable[[Minutes]:[Minutes]]) *_xlfn.XLOOKUP(H$1,'Provider Rates'!$A$2:$A$10,'Provider Rates'!$C$2:$C$10)</f>
        <v>1133.3333333333333</v>
      </c>
      <c r="I30" s="6" cm="1">
        <f t="array" ref="I30">_xlfn.XLOOKUP($B30,CodeMinutesTable[[Code]:[Code]],CodeMinutesTable[[Minutes]:[Minutes]]) *_xlfn.XLOOKUP(I$1,'Provider Rates'!$A$2:$A$10,'Provider Rates'!$C$2:$C$10)</f>
        <v>600</v>
      </c>
      <c r="J30" s="6" cm="1">
        <f t="array" ref="J30">_xlfn.XLOOKUP($B30,CodeMinutesTable[[Code]:[Code]],CodeMinutesTable[[Minutes]:[Minutes]]) *_xlfn.XLOOKUP(J$1,'Provider Rates'!$A$2:$A$10,'Provider Rates'!$C$2:$C$10)</f>
        <v>533.33333333333337</v>
      </c>
      <c r="K30" s="6" cm="1">
        <f t="array" ref="K30">_xlfn.XLOOKUP($B30,CodeMinutesTable[[Code]:[Code]],CodeMinutesTable[[Minutes]:[Minutes]]) *_xlfn.XLOOKUP(K$1,'Provider Rates'!$A$2:$A$10,'Provider Rates'!$C$2:$C$10)</f>
        <v>333.33333333333337</v>
      </c>
      <c r="L30" s="6" cm="1">
        <f t="array" ref="L30">_xlfn.XLOOKUP($B30,CodeMinutesTable[[Code]:[Code]],CodeMinutesTable[[Minutes]:[Minutes]]) *_xlfn.XLOOKUP(L$1,'Provider Rates'!$A$2:$A$10,'Provider Rates'!$C$2:$C$10)</f>
        <v>266.66666666666669</v>
      </c>
    </row>
    <row r="31" spans="1:12" hidden="1" x14ac:dyDescent="0.25">
      <c r="A31" s="6" t="str">
        <f>INDEX(CodeMinutesTable[Frequently Used],MATCH(CodeRatesTable[[#This Row],[Billing Code]],CodeMinutesTable[Code],0))</f>
        <v>No</v>
      </c>
      <c r="B31" s="3" t="s">
        <v>93</v>
      </c>
      <c r="C31" t="s">
        <v>94</v>
      </c>
      <c r="D31" s="6">
        <f>VLOOKUP($B31, CodeMinutesTable[[Code]:[Minutes]], 3, FALSE) * VLOOKUP(D$1, ProviderRatesTable[], 3, FALSE)</f>
        <v>1306.6666666666667</v>
      </c>
      <c r="E31" s="6" cm="1">
        <f t="array" ref="E31">_xlfn.XLOOKUP($B31,CodeMinutesTable[[Code]:[Code]],CodeMinutesTable[[Minutes]:[Minutes]]) *_xlfn.XLOOKUP(E$1,'Provider Rates'!$A$2:$A$10,'Provider Rates'!$C$2:$C$10)</f>
        <v>1225</v>
      </c>
      <c r="F31" s="6" cm="1">
        <f t="array" ref="F31">_xlfn.XLOOKUP($B31,CodeMinutesTable[[Code]:[Code]],CodeMinutesTable[[Minutes]:[Minutes]]) *_xlfn.XLOOKUP(F$1,'Provider Rates'!$A$2:$A$10,'Provider Rates'!$C$2:$C$10)</f>
        <v>1143.3333333333333</v>
      </c>
      <c r="G31" s="6" cm="1">
        <f t="array" ref="G31">_xlfn.XLOOKUP($B31,CodeMinutesTable[[Code]:[Code]],CodeMinutesTable[[Minutes]:[Minutes]]) *_xlfn.XLOOKUP(G$1,'Provider Rates'!$A$2:$A$10,'Provider Rates'!$C$2:$C$10)</f>
        <v>898.33333333333326</v>
      </c>
      <c r="H31" s="6" cm="1">
        <f t="array" ref="H31">_xlfn.XLOOKUP($B31,CodeMinutesTable[[Code]:[Code]],CodeMinutesTable[[Minutes]:[Minutes]]) *_xlfn.XLOOKUP(H$1,'Provider Rates'!$A$2:$A$10,'Provider Rates'!$C$2:$C$10)</f>
        <v>1388.3333333333333</v>
      </c>
      <c r="I31" s="6" cm="1">
        <f t="array" ref="I31">_xlfn.XLOOKUP($B31,CodeMinutesTable[[Code]:[Code]],CodeMinutesTable[[Minutes]:[Minutes]]) *_xlfn.XLOOKUP(I$1,'Provider Rates'!$A$2:$A$10,'Provider Rates'!$C$2:$C$10)</f>
        <v>735</v>
      </c>
      <c r="J31" s="6" cm="1">
        <f t="array" ref="J31">_xlfn.XLOOKUP($B31,CodeMinutesTable[[Code]:[Code]],CodeMinutesTable[[Minutes]:[Minutes]]) *_xlfn.XLOOKUP(J$1,'Provider Rates'!$A$2:$A$10,'Provider Rates'!$C$2:$C$10)</f>
        <v>653.33333333333337</v>
      </c>
      <c r="K31" s="6" cm="1">
        <f t="array" ref="K31">_xlfn.XLOOKUP($B31,CodeMinutesTable[[Code]:[Code]],CodeMinutesTable[[Minutes]:[Minutes]]) *_xlfn.XLOOKUP(K$1,'Provider Rates'!$A$2:$A$10,'Provider Rates'!$C$2:$C$10)</f>
        <v>408.33333333333337</v>
      </c>
      <c r="L31" s="6" cm="1">
        <f t="array" ref="L31">_xlfn.XLOOKUP($B31,CodeMinutesTable[[Code]:[Code]],CodeMinutesTable[[Minutes]:[Minutes]]) *_xlfn.XLOOKUP(L$1,'Provider Rates'!$A$2:$A$10,'Provider Rates'!$C$2:$C$10)</f>
        <v>326.66666666666669</v>
      </c>
    </row>
    <row r="32" spans="1:12" hidden="1" x14ac:dyDescent="0.25">
      <c r="A32" s="6" t="str">
        <f>INDEX(CodeMinutesTable[Frequently Used],MATCH(CodeRatesTable[[#This Row],[Billing Code]],CodeMinutesTable[Code],0))</f>
        <v>No</v>
      </c>
      <c r="B32" s="3" t="s">
        <v>95</v>
      </c>
      <c r="C32" t="s">
        <v>96</v>
      </c>
      <c r="D32" s="6">
        <f>VLOOKUP($B32, CodeMinutesTable[[Code]:[Minutes]], 3, FALSE) * VLOOKUP(D$1, ProviderRatesTable[], 3, FALSE)</f>
        <v>1520</v>
      </c>
      <c r="E32" s="6" cm="1">
        <f t="array" ref="E32">_xlfn.XLOOKUP($B32,CodeMinutesTable[[Code]:[Code]],CodeMinutesTable[[Minutes]:[Minutes]]) *_xlfn.XLOOKUP(E$1,'Provider Rates'!$A$2:$A$10,'Provider Rates'!$C$2:$C$10)</f>
        <v>1425</v>
      </c>
      <c r="F32" s="6" cm="1">
        <f t="array" ref="F32">_xlfn.XLOOKUP($B32,CodeMinutesTable[[Code]:[Code]],CodeMinutesTable[[Minutes]:[Minutes]]) *_xlfn.XLOOKUP(F$1,'Provider Rates'!$A$2:$A$10,'Provider Rates'!$C$2:$C$10)</f>
        <v>1330</v>
      </c>
      <c r="G32" s="6" cm="1">
        <f t="array" ref="G32">_xlfn.XLOOKUP($B32,CodeMinutesTable[[Code]:[Code]],CodeMinutesTable[[Minutes]:[Minutes]]) *_xlfn.XLOOKUP(G$1,'Provider Rates'!$A$2:$A$10,'Provider Rates'!$C$2:$C$10)</f>
        <v>1045</v>
      </c>
      <c r="H32" s="6" cm="1">
        <f t="array" ref="H32">_xlfn.XLOOKUP($B32,CodeMinutesTable[[Code]:[Code]],CodeMinutesTable[[Minutes]:[Minutes]]) *_xlfn.XLOOKUP(H$1,'Provider Rates'!$A$2:$A$10,'Provider Rates'!$C$2:$C$10)</f>
        <v>1615</v>
      </c>
      <c r="I32" s="6" cm="1">
        <f t="array" ref="I32">_xlfn.XLOOKUP($B32,CodeMinutesTable[[Code]:[Code]],CodeMinutesTable[[Minutes]:[Minutes]]) *_xlfn.XLOOKUP(I$1,'Provider Rates'!$A$2:$A$10,'Provider Rates'!$C$2:$C$10)</f>
        <v>855</v>
      </c>
      <c r="J32" s="6" cm="1">
        <f t="array" ref="J32">_xlfn.XLOOKUP($B32,CodeMinutesTable[[Code]:[Code]],CodeMinutesTable[[Minutes]:[Minutes]]) *_xlfn.XLOOKUP(J$1,'Provider Rates'!$A$2:$A$10,'Provider Rates'!$C$2:$C$10)</f>
        <v>760</v>
      </c>
      <c r="K32" s="6" cm="1">
        <f t="array" ref="K32">_xlfn.XLOOKUP($B32,CodeMinutesTable[[Code]:[Code]],CodeMinutesTable[[Minutes]:[Minutes]]) *_xlfn.XLOOKUP(K$1,'Provider Rates'!$A$2:$A$10,'Provider Rates'!$C$2:$C$10)</f>
        <v>475.00000000000006</v>
      </c>
      <c r="L32" s="6" cm="1">
        <f t="array" ref="L32">_xlfn.XLOOKUP($B32,CodeMinutesTable[[Code]:[Code]],CodeMinutesTable[[Minutes]:[Minutes]]) *_xlfn.XLOOKUP(L$1,'Provider Rates'!$A$2:$A$10,'Provider Rates'!$C$2:$C$10)</f>
        <v>380</v>
      </c>
    </row>
    <row r="33" spans="1:12" hidden="1" x14ac:dyDescent="0.25">
      <c r="A33" s="6" t="str">
        <f>INDEX(CodeMinutesTable[Frequently Used],MATCH(CodeRatesTable[[#This Row],[Billing Code]],CodeMinutesTable[Code],0))</f>
        <v>No</v>
      </c>
      <c r="B33" s="3" t="s">
        <v>97</v>
      </c>
      <c r="C33" t="s">
        <v>98</v>
      </c>
      <c r="D33" s="6">
        <f>VLOOKUP($B33, CodeMinutesTable[[Code]:[Minutes]], 3, FALSE) * VLOOKUP(D$1, ProviderRatesTable[], 3, FALSE)</f>
        <v>613.33333333333337</v>
      </c>
      <c r="E33" s="6" cm="1">
        <f t="array" ref="E33">_xlfn.XLOOKUP($B33,CodeMinutesTable[[Code]:[Code]],CodeMinutesTable[[Minutes]:[Minutes]]) *_xlfn.XLOOKUP(E$1,'Provider Rates'!$A$2:$A$10,'Provider Rates'!$C$2:$C$10)</f>
        <v>575</v>
      </c>
      <c r="F33" s="6" cm="1">
        <f t="array" ref="F33">_xlfn.XLOOKUP($B33,CodeMinutesTable[[Code]:[Code]],CodeMinutesTable[[Minutes]:[Minutes]]) *_xlfn.XLOOKUP(F$1,'Provider Rates'!$A$2:$A$10,'Provider Rates'!$C$2:$C$10)</f>
        <v>536.66666666666663</v>
      </c>
      <c r="G33" s="6" cm="1">
        <f t="array" ref="G33">_xlfn.XLOOKUP($B33,CodeMinutesTable[[Code]:[Code]],CodeMinutesTable[[Minutes]:[Minutes]]) *_xlfn.XLOOKUP(G$1,'Provider Rates'!$A$2:$A$10,'Provider Rates'!$C$2:$C$10)</f>
        <v>421.66666666666663</v>
      </c>
      <c r="H33" s="6" cm="1">
        <f t="array" ref="H33">_xlfn.XLOOKUP($B33,CodeMinutesTable[[Code]:[Code]],CodeMinutesTable[[Minutes]:[Minutes]]) *_xlfn.XLOOKUP(H$1,'Provider Rates'!$A$2:$A$10,'Provider Rates'!$C$2:$C$10)</f>
        <v>651.66666666666663</v>
      </c>
      <c r="I33" s="6" cm="1">
        <f t="array" ref="I33">_xlfn.XLOOKUP($B33,CodeMinutesTable[[Code]:[Code]],CodeMinutesTable[[Minutes]:[Minutes]]) *_xlfn.XLOOKUP(I$1,'Provider Rates'!$A$2:$A$10,'Provider Rates'!$C$2:$C$10)</f>
        <v>345</v>
      </c>
      <c r="J33" s="6" cm="1">
        <f t="array" ref="J33">_xlfn.XLOOKUP($B33,CodeMinutesTable[[Code]:[Code]],CodeMinutesTable[[Minutes]:[Minutes]]) *_xlfn.XLOOKUP(J$1,'Provider Rates'!$A$2:$A$10,'Provider Rates'!$C$2:$C$10)</f>
        <v>306.66666666666669</v>
      </c>
      <c r="K33" s="6" cm="1">
        <f t="array" ref="K33">_xlfn.XLOOKUP($B33,CodeMinutesTable[[Code]:[Code]],CodeMinutesTable[[Minutes]:[Minutes]]) *_xlfn.XLOOKUP(K$1,'Provider Rates'!$A$2:$A$10,'Provider Rates'!$C$2:$C$10)</f>
        <v>191.66666666666669</v>
      </c>
      <c r="L33" s="6" cm="1">
        <f t="array" ref="L33">_xlfn.XLOOKUP($B33,CodeMinutesTable[[Code]:[Code]],CodeMinutesTable[[Minutes]:[Minutes]]) *_xlfn.XLOOKUP(L$1,'Provider Rates'!$A$2:$A$10,'Provider Rates'!$C$2:$C$10)</f>
        <v>153.33333333333334</v>
      </c>
    </row>
    <row r="34" spans="1:12" hidden="1" x14ac:dyDescent="0.25">
      <c r="A34" s="6" t="str">
        <f>INDEX(CodeMinutesTable[Frequently Used],MATCH(CodeRatesTable[[#This Row],[Billing Code]],CodeMinutesTable[Code],0))</f>
        <v>No</v>
      </c>
      <c r="B34" s="3" t="s">
        <v>99</v>
      </c>
      <c r="C34" t="s">
        <v>100</v>
      </c>
      <c r="D34" s="6">
        <f>VLOOKUP($B34, CodeMinutesTable[[Code]:[Minutes]], 3, FALSE) * VLOOKUP(D$1, ProviderRatesTable[], 3, FALSE)</f>
        <v>933.33333333333337</v>
      </c>
      <c r="E34" s="6" cm="1">
        <f t="array" ref="E34">_xlfn.XLOOKUP($B34,CodeMinutesTable[[Code]:[Code]],CodeMinutesTable[[Minutes]:[Minutes]]) *_xlfn.XLOOKUP(E$1,'Provider Rates'!$A$2:$A$10,'Provider Rates'!$C$2:$C$10)</f>
        <v>875</v>
      </c>
      <c r="F34" s="6" cm="1">
        <f t="array" ref="F34">_xlfn.XLOOKUP($B34,CodeMinutesTable[[Code]:[Code]],CodeMinutesTable[[Minutes]:[Minutes]]) *_xlfn.XLOOKUP(F$1,'Provider Rates'!$A$2:$A$10,'Provider Rates'!$C$2:$C$10)</f>
        <v>816.66666666666663</v>
      </c>
      <c r="G34" s="6" cm="1">
        <f t="array" ref="G34">_xlfn.XLOOKUP($B34,CodeMinutesTable[[Code]:[Code]],CodeMinutesTable[[Minutes]:[Minutes]]) *_xlfn.XLOOKUP(G$1,'Provider Rates'!$A$2:$A$10,'Provider Rates'!$C$2:$C$10)</f>
        <v>641.66666666666663</v>
      </c>
      <c r="H34" s="6" cm="1">
        <f t="array" ref="H34">_xlfn.XLOOKUP($B34,CodeMinutesTable[[Code]:[Code]],CodeMinutesTable[[Minutes]:[Minutes]]) *_xlfn.XLOOKUP(H$1,'Provider Rates'!$A$2:$A$10,'Provider Rates'!$C$2:$C$10)</f>
        <v>991.66666666666663</v>
      </c>
      <c r="I34" s="6" cm="1">
        <f t="array" ref="I34">_xlfn.XLOOKUP($B34,CodeMinutesTable[[Code]:[Code]],CodeMinutesTable[[Minutes]:[Minutes]]) *_xlfn.XLOOKUP(I$1,'Provider Rates'!$A$2:$A$10,'Provider Rates'!$C$2:$C$10)</f>
        <v>525</v>
      </c>
      <c r="J34" s="6" cm="1">
        <f t="array" ref="J34">_xlfn.XLOOKUP($B34,CodeMinutesTable[[Code]:[Code]],CodeMinutesTable[[Minutes]:[Minutes]]) *_xlfn.XLOOKUP(J$1,'Provider Rates'!$A$2:$A$10,'Provider Rates'!$C$2:$C$10)</f>
        <v>466.66666666666669</v>
      </c>
      <c r="K34" s="6" cm="1">
        <f t="array" ref="K34">_xlfn.XLOOKUP($B34,CodeMinutesTable[[Code]:[Code]],CodeMinutesTable[[Minutes]:[Minutes]]) *_xlfn.XLOOKUP(K$1,'Provider Rates'!$A$2:$A$10,'Provider Rates'!$C$2:$C$10)</f>
        <v>291.66666666666669</v>
      </c>
      <c r="L34" s="6" cm="1">
        <f t="array" ref="L34">_xlfn.XLOOKUP($B34,CodeMinutesTable[[Code]:[Code]],CodeMinutesTable[[Minutes]:[Minutes]]) *_xlfn.XLOOKUP(L$1,'Provider Rates'!$A$2:$A$10,'Provider Rates'!$C$2:$C$10)</f>
        <v>233.33333333333334</v>
      </c>
    </row>
    <row r="35" spans="1:12" hidden="1" x14ac:dyDescent="0.25">
      <c r="A35" s="6" t="str">
        <f>INDEX(CodeMinutesTable[Frequently Used],MATCH(CodeRatesTable[[#This Row],[Billing Code]],CodeMinutesTable[Code],0))</f>
        <v>No</v>
      </c>
      <c r="B35" s="3" t="s">
        <v>101</v>
      </c>
      <c r="C35" t="s">
        <v>102</v>
      </c>
      <c r="D35" s="6">
        <f>VLOOKUP($B35, CodeMinutesTable[[Code]:[Minutes]], 3, FALSE) * VLOOKUP(D$1, ProviderRatesTable[], 3, FALSE)</f>
        <v>1333.3333333333335</v>
      </c>
      <c r="E35" s="6" cm="1">
        <f t="array" ref="E35">_xlfn.XLOOKUP($B35,CodeMinutesTable[[Code]:[Code]],CodeMinutesTable[[Minutes]:[Minutes]]) *_xlfn.XLOOKUP(E$1,'Provider Rates'!$A$2:$A$10,'Provider Rates'!$C$2:$C$10)</f>
        <v>1250</v>
      </c>
      <c r="F35" s="6" cm="1">
        <f t="array" ref="F35">_xlfn.XLOOKUP($B35,CodeMinutesTable[[Code]:[Code]],CodeMinutesTable[[Minutes]:[Minutes]]) *_xlfn.XLOOKUP(F$1,'Provider Rates'!$A$2:$A$10,'Provider Rates'!$C$2:$C$10)</f>
        <v>1166.6666666666665</v>
      </c>
      <c r="G35" s="6" cm="1">
        <f t="array" ref="G35">_xlfn.XLOOKUP($B35,CodeMinutesTable[[Code]:[Code]],CodeMinutesTable[[Minutes]:[Minutes]]) *_xlfn.XLOOKUP(G$1,'Provider Rates'!$A$2:$A$10,'Provider Rates'!$C$2:$C$10)</f>
        <v>916.66666666666663</v>
      </c>
      <c r="H35" s="6" cm="1">
        <f t="array" ref="H35">_xlfn.XLOOKUP($B35,CodeMinutesTable[[Code]:[Code]],CodeMinutesTable[[Minutes]:[Minutes]]) *_xlfn.XLOOKUP(H$1,'Provider Rates'!$A$2:$A$10,'Provider Rates'!$C$2:$C$10)</f>
        <v>1416.6666666666665</v>
      </c>
      <c r="I35" s="6" cm="1">
        <f t="array" ref="I35">_xlfn.XLOOKUP($B35,CodeMinutesTable[[Code]:[Code]],CodeMinutesTable[[Minutes]:[Minutes]]) *_xlfn.XLOOKUP(I$1,'Provider Rates'!$A$2:$A$10,'Provider Rates'!$C$2:$C$10)</f>
        <v>750</v>
      </c>
      <c r="J35" s="6" cm="1">
        <f t="array" ref="J35">_xlfn.XLOOKUP($B35,CodeMinutesTable[[Code]:[Code]],CodeMinutesTable[[Minutes]:[Minutes]]) *_xlfn.XLOOKUP(J$1,'Provider Rates'!$A$2:$A$10,'Provider Rates'!$C$2:$C$10)</f>
        <v>666.66666666666674</v>
      </c>
      <c r="K35" s="6" cm="1">
        <f t="array" ref="K35">_xlfn.XLOOKUP($B35,CodeMinutesTable[[Code]:[Code]],CodeMinutesTable[[Minutes]:[Minutes]]) *_xlfn.XLOOKUP(K$1,'Provider Rates'!$A$2:$A$10,'Provider Rates'!$C$2:$C$10)</f>
        <v>416.66666666666669</v>
      </c>
      <c r="L35" s="6" cm="1">
        <f t="array" ref="L35">_xlfn.XLOOKUP($B35,CodeMinutesTable[[Code]:[Code]],CodeMinutesTable[[Minutes]:[Minutes]]) *_xlfn.XLOOKUP(L$1,'Provider Rates'!$A$2:$A$10,'Provider Rates'!$C$2:$C$10)</f>
        <v>333.33333333333337</v>
      </c>
    </row>
    <row r="36" spans="1:12" hidden="1" x14ac:dyDescent="0.25">
      <c r="A36" s="6" t="str">
        <f>INDEX(CodeMinutesTable[Frequently Used],MATCH(CodeRatesTable[[#This Row],[Billing Code]],CodeMinutesTable[Code],0))</f>
        <v>No</v>
      </c>
      <c r="B36" s="3" t="s">
        <v>103</v>
      </c>
      <c r="C36" t="s">
        <v>104</v>
      </c>
      <c r="D36" s="6">
        <f>VLOOKUP($B36, CodeMinutesTable[[Code]:[Minutes]], 3, FALSE) * VLOOKUP(D$1, ProviderRatesTable[], 3, FALSE)</f>
        <v>186.66666666666669</v>
      </c>
      <c r="E36" s="6" cm="1">
        <f t="array" ref="E36">_xlfn.XLOOKUP($B36,CodeMinutesTable[[Code]:[Code]],CodeMinutesTable[[Minutes]:[Minutes]]) *_xlfn.XLOOKUP(E$1,'Provider Rates'!$A$2:$A$10,'Provider Rates'!$C$2:$C$10)</f>
        <v>175</v>
      </c>
      <c r="F36" s="6" cm="1">
        <f t="array" ref="F36">_xlfn.XLOOKUP($B36,CodeMinutesTable[[Code]:[Code]],CodeMinutesTable[[Minutes]:[Minutes]]) *_xlfn.XLOOKUP(F$1,'Provider Rates'!$A$2:$A$10,'Provider Rates'!$C$2:$C$10)</f>
        <v>163.33333333333331</v>
      </c>
      <c r="G36" s="6" cm="1">
        <f t="array" ref="G36">_xlfn.XLOOKUP($B36,CodeMinutesTable[[Code]:[Code]],CodeMinutesTable[[Minutes]:[Minutes]]) *_xlfn.XLOOKUP(G$1,'Provider Rates'!$A$2:$A$10,'Provider Rates'!$C$2:$C$10)</f>
        <v>128.33333333333331</v>
      </c>
      <c r="H36" s="6" cm="1">
        <f t="array" ref="H36">_xlfn.XLOOKUP($B36,CodeMinutesTable[[Code]:[Code]],CodeMinutesTable[[Minutes]:[Minutes]]) *_xlfn.XLOOKUP(H$1,'Provider Rates'!$A$2:$A$10,'Provider Rates'!$C$2:$C$10)</f>
        <v>198.33333333333331</v>
      </c>
      <c r="I36" s="6" cm="1">
        <f t="array" ref="I36">_xlfn.XLOOKUP($B36,CodeMinutesTable[[Code]:[Code]],CodeMinutesTable[[Minutes]:[Minutes]]) *_xlfn.XLOOKUP(I$1,'Provider Rates'!$A$2:$A$10,'Provider Rates'!$C$2:$C$10)</f>
        <v>105</v>
      </c>
      <c r="J36" s="6" cm="1">
        <f t="array" ref="J36">_xlfn.XLOOKUP($B36,CodeMinutesTable[[Code]:[Code]],CodeMinutesTable[[Minutes]:[Minutes]]) *_xlfn.XLOOKUP(J$1,'Provider Rates'!$A$2:$A$10,'Provider Rates'!$C$2:$C$10)</f>
        <v>93.333333333333343</v>
      </c>
      <c r="K36" s="6" cm="1">
        <f t="array" ref="K36">_xlfn.XLOOKUP($B36,CodeMinutesTable[[Code]:[Code]],CodeMinutesTable[[Minutes]:[Minutes]]) *_xlfn.XLOOKUP(K$1,'Provider Rates'!$A$2:$A$10,'Provider Rates'!$C$2:$C$10)</f>
        <v>58.333333333333336</v>
      </c>
      <c r="L36" s="6" cm="1">
        <f t="array" ref="L36">_xlfn.XLOOKUP($B36,CodeMinutesTable[[Code]:[Code]],CodeMinutesTable[[Minutes]:[Minutes]]) *_xlfn.XLOOKUP(L$1,'Provider Rates'!$A$2:$A$10,'Provider Rates'!$C$2:$C$10)</f>
        <v>46.666666666666671</v>
      </c>
    </row>
    <row r="37" spans="1:12" hidden="1" x14ac:dyDescent="0.25">
      <c r="A37" s="6" t="str">
        <f>INDEX(CodeMinutesTable[Frequently Used],MATCH(CodeRatesTable[[#This Row],[Billing Code]],CodeMinutesTable[Code],0))</f>
        <v>No</v>
      </c>
      <c r="B37" s="3" t="s">
        <v>105</v>
      </c>
      <c r="C37" t="s">
        <v>106</v>
      </c>
      <c r="D37" s="6">
        <f>VLOOKUP($B37, CodeMinutesTable[[Code]:[Minutes]], 3, FALSE) * VLOOKUP(D$1, ProviderRatesTable[], 3, FALSE)</f>
        <v>426.66666666666669</v>
      </c>
      <c r="E37" s="6" cm="1">
        <f t="array" ref="E37">_xlfn.XLOOKUP($B37,CodeMinutesTable[[Code]:[Code]],CodeMinutesTable[[Minutes]:[Minutes]]) *_xlfn.XLOOKUP(E$1,'Provider Rates'!$A$2:$A$10,'Provider Rates'!$C$2:$C$10)</f>
        <v>400</v>
      </c>
      <c r="F37" s="6" cm="1">
        <f t="array" ref="F37">_xlfn.XLOOKUP($B37,CodeMinutesTable[[Code]:[Code]],CodeMinutesTable[[Minutes]:[Minutes]]) *_xlfn.XLOOKUP(F$1,'Provider Rates'!$A$2:$A$10,'Provider Rates'!$C$2:$C$10)</f>
        <v>373.33333333333331</v>
      </c>
      <c r="G37" s="6" cm="1">
        <f t="array" ref="G37">_xlfn.XLOOKUP($B37,CodeMinutesTable[[Code]:[Code]],CodeMinutesTable[[Minutes]:[Minutes]]) *_xlfn.XLOOKUP(G$1,'Provider Rates'!$A$2:$A$10,'Provider Rates'!$C$2:$C$10)</f>
        <v>293.33333333333331</v>
      </c>
      <c r="H37" s="6" cm="1">
        <f t="array" ref="H37">_xlfn.XLOOKUP($B37,CodeMinutesTable[[Code]:[Code]],CodeMinutesTable[[Minutes]:[Minutes]]) *_xlfn.XLOOKUP(H$1,'Provider Rates'!$A$2:$A$10,'Provider Rates'!$C$2:$C$10)</f>
        <v>453.33333333333331</v>
      </c>
      <c r="I37" s="6" cm="1">
        <f t="array" ref="I37">_xlfn.XLOOKUP($B37,CodeMinutesTable[[Code]:[Code]],CodeMinutesTable[[Minutes]:[Minutes]]) *_xlfn.XLOOKUP(I$1,'Provider Rates'!$A$2:$A$10,'Provider Rates'!$C$2:$C$10)</f>
        <v>240</v>
      </c>
      <c r="J37" s="6" cm="1">
        <f t="array" ref="J37">_xlfn.XLOOKUP($B37,CodeMinutesTable[[Code]:[Code]],CodeMinutesTable[[Minutes]:[Minutes]]) *_xlfn.XLOOKUP(J$1,'Provider Rates'!$A$2:$A$10,'Provider Rates'!$C$2:$C$10)</f>
        <v>213.33333333333334</v>
      </c>
      <c r="K37" s="6" cm="1">
        <f t="array" ref="K37">_xlfn.XLOOKUP($B37,CodeMinutesTable[[Code]:[Code]],CodeMinutesTable[[Minutes]:[Minutes]]) *_xlfn.XLOOKUP(K$1,'Provider Rates'!$A$2:$A$10,'Provider Rates'!$C$2:$C$10)</f>
        <v>133.33333333333334</v>
      </c>
      <c r="L37" s="6" cm="1">
        <f t="array" ref="L37">_xlfn.XLOOKUP($B37,CodeMinutesTable[[Code]:[Code]],CodeMinutesTable[[Minutes]:[Minutes]]) *_xlfn.XLOOKUP(L$1,'Provider Rates'!$A$2:$A$10,'Provider Rates'!$C$2:$C$10)</f>
        <v>106.66666666666667</v>
      </c>
    </row>
    <row r="38" spans="1:12" hidden="1" x14ac:dyDescent="0.25">
      <c r="A38" s="6" t="str">
        <f>INDEX(CodeMinutesTable[Frequently Used],MATCH(CodeRatesTable[[#This Row],[Billing Code]],CodeMinutesTable[Code],0))</f>
        <v>No</v>
      </c>
      <c r="B38" s="3" t="s">
        <v>107</v>
      </c>
      <c r="C38" t="s">
        <v>108</v>
      </c>
      <c r="D38" s="6">
        <f>VLOOKUP($B38, CodeMinutesTable[[Code]:[Minutes]], 3, FALSE) * VLOOKUP(D$1, ProviderRatesTable[], 3, FALSE)</f>
        <v>666.66666666666674</v>
      </c>
      <c r="E38" s="6" cm="1">
        <f t="array" ref="E38">_xlfn.XLOOKUP($B38,CodeMinutesTable[[Code]:[Code]],CodeMinutesTable[[Minutes]:[Minutes]]) *_xlfn.XLOOKUP(E$1,'Provider Rates'!$A$2:$A$10,'Provider Rates'!$C$2:$C$10)</f>
        <v>625</v>
      </c>
      <c r="F38" s="6" cm="1">
        <f t="array" ref="F38">_xlfn.XLOOKUP($B38,CodeMinutesTable[[Code]:[Code]],CodeMinutesTable[[Minutes]:[Minutes]]) *_xlfn.XLOOKUP(F$1,'Provider Rates'!$A$2:$A$10,'Provider Rates'!$C$2:$C$10)</f>
        <v>583.33333333333326</v>
      </c>
      <c r="G38" s="6" cm="1">
        <f t="array" ref="G38">_xlfn.XLOOKUP($B38,CodeMinutesTable[[Code]:[Code]],CodeMinutesTable[[Minutes]:[Minutes]]) *_xlfn.XLOOKUP(G$1,'Provider Rates'!$A$2:$A$10,'Provider Rates'!$C$2:$C$10)</f>
        <v>458.33333333333331</v>
      </c>
      <c r="H38" s="6" cm="1">
        <f t="array" ref="H38">_xlfn.XLOOKUP($B38,CodeMinutesTable[[Code]:[Code]],CodeMinutesTable[[Minutes]:[Minutes]]) *_xlfn.XLOOKUP(H$1,'Provider Rates'!$A$2:$A$10,'Provider Rates'!$C$2:$C$10)</f>
        <v>708.33333333333326</v>
      </c>
      <c r="I38" s="6" cm="1">
        <f t="array" ref="I38">_xlfn.XLOOKUP($B38,CodeMinutesTable[[Code]:[Code]],CodeMinutesTable[[Minutes]:[Minutes]]) *_xlfn.XLOOKUP(I$1,'Provider Rates'!$A$2:$A$10,'Provider Rates'!$C$2:$C$10)</f>
        <v>375</v>
      </c>
      <c r="J38" s="6" cm="1">
        <f t="array" ref="J38">_xlfn.XLOOKUP($B38,CodeMinutesTable[[Code]:[Code]],CodeMinutesTable[[Minutes]:[Minutes]]) *_xlfn.XLOOKUP(J$1,'Provider Rates'!$A$2:$A$10,'Provider Rates'!$C$2:$C$10)</f>
        <v>333.33333333333337</v>
      </c>
      <c r="K38" s="6" cm="1">
        <f t="array" ref="K38">_xlfn.XLOOKUP($B38,CodeMinutesTable[[Code]:[Code]],CodeMinutesTable[[Minutes]:[Minutes]]) *_xlfn.XLOOKUP(K$1,'Provider Rates'!$A$2:$A$10,'Provider Rates'!$C$2:$C$10)</f>
        <v>208.33333333333334</v>
      </c>
      <c r="L38" s="6" cm="1">
        <f t="array" ref="L38">_xlfn.XLOOKUP($B38,CodeMinutesTable[[Code]:[Code]],CodeMinutesTable[[Minutes]:[Minutes]]) *_xlfn.XLOOKUP(L$1,'Provider Rates'!$A$2:$A$10,'Provider Rates'!$C$2:$C$10)</f>
        <v>166.66666666666669</v>
      </c>
    </row>
    <row r="39" spans="1:12" hidden="1" x14ac:dyDescent="0.25">
      <c r="A39" s="6" t="str">
        <f>INDEX(CodeMinutesTable[Frequently Used],MATCH(CodeRatesTable[[#This Row],[Billing Code]],CodeMinutesTable[Code],0))</f>
        <v>No</v>
      </c>
      <c r="B39" s="3" t="s">
        <v>109</v>
      </c>
      <c r="C39" t="s">
        <v>110</v>
      </c>
      <c r="D39" s="6">
        <f>VLOOKUP($B39, CodeMinutesTable[[Code]:[Minutes]], 3, FALSE) * VLOOKUP(D$1, ProviderRatesTable[], 3, FALSE)</f>
        <v>933.33333333333337</v>
      </c>
      <c r="E39" s="6" cm="1">
        <f t="array" ref="E39">_xlfn.XLOOKUP($B39,CodeMinutesTable[[Code]:[Code]],CodeMinutesTable[[Minutes]:[Minutes]]) *_xlfn.XLOOKUP(E$1,'Provider Rates'!$A$2:$A$10,'Provider Rates'!$C$2:$C$10)</f>
        <v>875</v>
      </c>
      <c r="F39" s="6" cm="1">
        <f t="array" ref="F39">_xlfn.XLOOKUP($B39,CodeMinutesTable[[Code]:[Code]],CodeMinutesTable[[Minutes]:[Minutes]]) *_xlfn.XLOOKUP(F$1,'Provider Rates'!$A$2:$A$10,'Provider Rates'!$C$2:$C$10)</f>
        <v>816.66666666666663</v>
      </c>
      <c r="G39" s="6" cm="1">
        <f t="array" ref="G39">_xlfn.XLOOKUP($B39,CodeMinutesTable[[Code]:[Code]],CodeMinutesTable[[Minutes]:[Minutes]]) *_xlfn.XLOOKUP(G$1,'Provider Rates'!$A$2:$A$10,'Provider Rates'!$C$2:$C$10)</f>
        <v>641.66666666666663</v>
      </c>
      <c r="H39" s="6" cm="1">
        <f t="array" ref="H39">_xlfn.XLOOKUP($B39,CodeMinutesTable[[Code]:[Code]],CodeMinutesTable[[Minutes]:[Minutes]]) *_xlfn.XLOOKUP(H$1,'Provider Rates'!$A$2:$A$10,'Provider Rates'!$C$2:$C$10)</f>
        <v>991.66666666666663</v>
      </c>
      <c r="I39" s="6" cm="1">
        <f t="array" ref="I39">_xlfn.XLOOKUP($B39,CodeMinutesTable[[Code]:[Code]],CodeMinutesTable[[Minutes]:[Minutes]]) *_xlfn.XLOOKUP(I$1,'Provider Rates'!$A$2:$A$10,'Provider Rates'!$C$2:$C$10)</f>
        <v>525</v>
      </c>
      <c r="J39" s="6" cm="1">
        <f t="array" ref="J39">_xlfn.XLOOKUP($B39,CodeMinutesTable[[Code]:[Code]],CodeMinutesTable[[Minutes]:[Minutes]]) *_xlfn.XLOOKUP(J$1,'Provider Rates'!$A$2:$A$10,'Provider Rates'!$C$2:$C$10)</f>
        <v>466.66666666666669</v>
      </c>
      <c r="K39" s="6" cm="1">
        <f t="array" ref="K39">_xlfn.XLOOKUP($B39,CodeMinutesTable[[Code]:[Code]],CodeMinutesTable[[Minutes]:[Minutes]]) *_xlfn.XLOOKUP(K$1,'Provider Rates'!$A$2:$A$10,'Provider Rates'!$C$2:$C$10)</f>
        <v>291.66666666666669</v>
      </c>
      <c r="L39" s="6" cm="1">
        <f t="array" ref="L39">_xlfn.XLOOKUP($B39,CodeMinutesTable[[Code]:[Code]],CodeMinutesTable[[Minutes]:[Minutes]]) *_xlfn.XLOOKUP(L$1,'Provider Rates'!$A$2:$A$10,'Provider Rates'!$C$2:$C$10)</f>
        <v>233.33333333333334</v>
      </c>
    </row>
    <row r="40" spans="1:12" x14ac:dyDescent="0.25">
      <c r="A40" s="6" t="str">
        <f>INDEX(CodeMinutesTable[Frequently Used],MATCH(CodeRatesTable[[#This Row],[Billing Code]],CodeMinutesTable[Code],0))</f>
        <v>Yes</v>
      </c>
      <c r="B40" s="3" t="s">
        <v>111</v>
      </c>
      <c r="C40" t="s">
        <v>112</v>
      </c>
      <c r="D40" s="6">
        <f>VLOOKUP($B40, CodeMinutesTable[[Code]:[Minutes]], 3, FALSE) * VLOOKUP(D$1, ProviderRatesTable[], 3, FALSE)</f>
        <v>533.33333333333337</v>
      </c>
      <c r="E40" s="6">
        <f>VLOOKUP($B40, CodeMinutesTable[[Code]:[Minutes]], 3, FALSE) * VLOOKUP(E$1, ProviderRatesTable[], 3, FALSE)</f>
        <v>500</v>
      </c>
      <c r="F40" s="6">
        <f>VLOOKUP($B40, CodeMinutesTable[[Code]:[Minutes]], 3, FALSE) * VLOOKUP(F$1, ProviderRatesTable[], 3, FALSE)</f>
        <v>466.66666666666663</v>
      </c>
      <c r="G40" s="6">
        <f>VLOOKUP($B40, CodeMinutesTable[[Code]:[Minutes]], 3, FALSE) * VLOOKUP(G$1, ProviderRatesTable[], 3, FALSE)</f>
        <v>366.66666666666663</v>
      </c>
      <c r="H40" s="6">
        <f>VLOOKUP($B40, CodeMinutesTable[[Code]:[Minutes]], 3, FALSE) * VLOOKUP(H$1, ProviderRatesTable[], 3, FALSE)</f>
        <v>566.66666666666663</v>
      </c>
      <c r="I40" s="6">
        <f>VLOOKUP($B40, CodeMinutesTable[[Code]:[Minutes]], 3, FALSE) * VLOOKUP(I$1, ProviderRatesTable[], 3, FALSE)</f>
        <v>300</v>
      </c>
      <c r="J40" s="6">
        <f>VLOOKUP($B40, CodeMinutesTable[[Code]:[Minutes]], 3, FALSE) * VLOOKUP(J$1, ProviderRatesTable[], 3, FALSE)</f>
        <v>266.66666666666669</v>
      </c>
      <c r="K40" s="6">
        <f>VLOOKUP($B40, CodeMinutesTable[[Code]:[Minutes]], 3, FALSE) * VLOOKUP(K$1, ProviderRatesTable[], 3, FALSE)</f>
        <v>166.66666666666669</v>
      </c>
      <c r="L40" s="6">
        <f>VLOOKUP($B40, CodeMinutesTable[[Code]:[Minutes]], 3, FALSE) * VLOOKUP(L$1, ProviderRatesTable[], 3, FALSE)</f>
        <v>133.33333333333334</v>
      </c>
    </row>
    <row r="41" spans="1:12" x14ac:dyDescent="0.25">
      <c r="A41" s="6" t="str">
        <f>INDEX(CodeMinutesTable[Frequently Used],MATCH(CodeRatesTable[[#This Row],[Billing Code]],CodeMinutesTable[Code],0))</f>
        <v>Yes</v>
      </c>
      <c r="B41" s="3" t="s">
        <v>113</v>
      </c>
      <c r="C41" t="s">
        <v>114</v>
      </c>
      <c r="D41" s="6">
        <f>VLOOKUP($B41, CodeMinutesTable[[Code]:[Minutes]], 3, FALSE) * VLOOKUP(D$1, ProviderRatesTable[], 3, FALSE)</f>
        <v>826.66666666666674</v>
      </c>
      <c r="E41" s="6">
        <f>VLOOKUP($B41, CodeMinutesTable[[Code]:[Minutes]], 3, FALSE) * VLOOKUP(E$1, ProviderRatesTable[], 3, FALSE)</f>
        <v>775</v>
      </c>
      <c r="F41" s="6">
        <f>VLOOKUP($B41, CodeMinutesTable[[Code]:[Minutes]], 3, FALSE) * VLOOKUP(F$1, ProviderRatesTable[], 3, FALSE)</f>
        <v>723.33333333333326</v>
      </c>
      <c r="G41" s="6">
        <f>VLOOKUP($B41, CodeMinutesTable[[Code]:[Minutes]], 3, FALSE) * VLOOKUP(G$1, ProviderRatesTable[], 3, FALSE)</f>
        <v>568.33333333333326</v>
      </c>
      <c r="H41" s="6">
        <f>VLOOKUP($B41, CodeMinutesTable[[Code]:[Minutes]], 3, FALSE) * VLOOKUP(H$1, ProviderRatesTable[], 3, FALSE)</f>
        <v>878.33333333333326</v>
      </c>
      <c r="I41" s="6">
        <f>VLOOKUP($B41, CodeMinutesTable[[Code]:[Minutes]], 3, FALSE) * VLOOKUP(I$1, ProviderRatesTable[], 3, FALSE)</f>
        <v>465</v>
      </c>
      <c r="J41" s="6">
        <f>VLOOKUP($B41, CodeMinutesTable[[Code]:[Minutes]], 3, FALSE) * VLOOKUP(J$1, ProviderRatesTable[], 3, FALSE)</f>
        <v>413.33333333333337</v>
      </c>
      <c r="K41" s="6">
        <f>VLOOKUP($B41, CodeMinutesTable[[Code]:[Minutes]], 3, FALSE) * VLOOKUP(K$1, ProviderRatesTable[], 3, FALSE)</f>
        <v>258.33333333333337</v>
      </c>
      <c r="L41" s="6">
        <f>VLOOKUP($B41, CodeMinutesTable[[Code]:[Minutes]], 3, FALSE) * VLOOKUP(L$1, ProviderRatesTable[], 3, FALSE)</f>
        <v>206.66666666666669</v>
      </c>
    </row>
    <row r="42" spans="1:12" x14ac:dyDescent="0.25">
      <c r="A42" s="6" t="str">
        <f>INDEX(CodeMinutesTable[Frequently Used],MATCH(CodeRatesTable[[#This Row],[Billing Code]],CodeMinutesTable[Code],0))</f>
        <v>Yes</v>
      </c>
      <c r="B42" s="3" t="s">
        <v>115</v>
      </c>
      <c r="C42" t="s">
        <v>116</v>
      </c>
      <c r="D42" s="6">
        <f>VLOOKUP($B42, CodeMinutesTable[[Code]:[Minutes]], 3, FALSE) * VLOOKUP(D$1, ProviderRatesTable[], 3, FALSE)</f>
        <v>1146.6666666666667</v>
      </c>
      <c r="E42" s="6">
        <f>VLOOKUP($B42, CodeMinutesTable[[Code]:[Minutes]], 3, FALSE) * VLOOKUP(E$1, ProviderRatesTable[], 3, FALSE)</f>
        <v>1075</v>
      </c>
      <c r="F42" s="6">
        <f>VLOOKUP($B42, CodeMinutesTable[[Code]:[Minutes]], 3, FALSE) * VLOOKUP(F$1, ProviderRatesTable[], 3, FALSE)</f>
        <v>1003.3333333333333</v>
      </c>
      <c r="G42" s="6">
        <f>VLOOKUP($B42, CodeMinutesTable[[Code]:[Minutes]], 3, FALSE) * VLOOKUP(G$1, ProviderRatesTable[], 3, FALSE)</f>
        <v>788.33333333333326</v>
      </c>
      <c r="H42" s="6">
        <f>VLOOKUP($B42, CodeMinutesTable[[Code]:[Minutes]], 3, FALSE) * VLOOKUP(H$1, ProviderRatesTable[], 3, FALSE)</f>
        <v>1218.3333333333333</v>
      </c>
      <c r="I42" s="6">
        <f>VLOOKUP($B42, CodeMinutesTable[[Code]:[Minutes]], 3, FALSE) * VLOOKUP(I$1, ProviderRatesTable[], 3, FALSE)</f>
        <v>645</v>
      </c>
      <c r="J42" s="6">
        <f>VLOOKUP($B42, CodeMinutesTable[[Code]:[Minutes]], 3, FALSE) * VLOOKUP(J$1, ProviderRatesTable[], 3, FALSE)</f>
        <v>573.33333333333337</v>
      </c>
      <c r="K42" s="6">
        <f>VLOOKUP($B42, CodeMinutesTable[[Code]:[Minutes]], 3, FALSE) * VLOOKUP(K$1, ProviderRatesTable[], 3, FALSE)</f>
        <v>358.33333333333337</v>
      </c>
      <c r="L42" s="6">
        <f>VLOOKUP($B42, CodeMinutesTable[[Code]:[Minutes]], 3, FALSE) * VLOOKUP(L$1, ProviderRatesTable[], 3, FALSE)</f>
        <v>286.66666666666669</v>
      </c>
    </row>
    <row r="43" spans="1:12" x14ac:dyDescent="0.25">
      <c r="A43" s="6" t="str">
        <f>INDEX(CodeMinutesTable[Frequently Used],MATCH(CodeRatesTable[[#This Row],[Billing Code]],CodeMinutesTable[Code],0))</f>
        <v>Yes</v>
      </c>
      <c r="B43" s="3" t="s">
        <v>117</v>
      </c>
      <c r="C43" t="s">
        <v>118</v>
      </c>
      <c r="D43" s="6">
        <f>VLOOKUP($B43, CodeMinutesTable[[Code]:[Minutes]], 3, FALSE) * VLOOKUP(D$1, ProviderRatesTable[], 3, FALSE)</f>
        <v>1546.6666666666667</v>
      </c>
      <c r="E43" s="6">
        <f>VLOOKUP($B43, CodeMinutesTable[[Code]:[Minutes]], 3, FALSE) * VLOOKUP(E$1, ProviderRatesTable[], 3, FALSE)</f>
        <v>1450</v>
      </c>
      <c r="F43" s="6">
        <f>VLOOKUP($B43, CodeMinutesTable[[Code]:[Minutes]], 3, FALSE) * VLOOKUP(F$1, ProviderRatesTable[], 3, FALSE)</f>
        <v>1353.3333333333333</v>
      </c>
      <c r="G43" s="6">
        <f>VLOOKUP($B43, CodeMinutesTable[[Code]:[Minutes]], 3, FALSE) * VLOOKUP(G$1, ProviderRatesTable[], 3, FALSE)</f>
        <v>1063.3333333333333</v>
      </c>
      <c r="H43" s="6">
        <f>VLOOKUP($B43, CodeMinutesTable[[Code]:[Minutes]], 3, FALSE) * VLOOKUP(H$1, ProviderRatesTable[], 3, FALSE)</f>
        <v>1643.3333333333333</v>
      </c>
      <c r="I43" s="6">
        <f>VLOOKUP($B43, CodeMinutesTable[[Code]:[Minutes]], 3, FALSE) * VLOOKUP(I$1, ProviderRatesTable[], 3, FALSE)</f>
        <v>870</v>
      </c>
      <c r="J43" s="6">
        <f>VLOOKUP($B43, CodeMinutesTable[[Code]:[Minutes]], 3, FALSE) * VLOOKUP(J$1, ProviderRatesTable[], 3, FALSE)</f>
        <v>773.33333333333337</v>
      </c>
      <c r="K43" s="6">
        <f>VLOOKUP($B43, CodeMinutesTable[[Code]:[Minutes]], 3, FALSE) * VLOOKUP(K$1, ProviderRatesTable[], 3, FALSE)</f>
        <v>483.33333333333337</v>
      </c>
      <c r="L43" s="6">
        <f>VLOOKUP($B43, CodeMinutesTable[[Code]:[Minutes]], 3, FALSE) * VLOOKUP(L$1, ProviderRatesTable[], 3, FALSE)</f>
        <v>386.66666666666669</v>
      </c>
    </row>
    <row r="44" spans="1:12" x14ac:dyDescent="0.25">
      <c r="A44" s="6" t="str">
        <f>INDEX(CodeMinutesTable[Frequently Used],MATCH(CodeRatesTable[[#This Row],[Billing Code]],CodeMinutesTable[Code],0))</f>
        <v>Yes</v>
      </c>
      <c r="B44" s="3" t="s">
        <v>119</v>
      </c>
      <c r="C44" t="s">
        <v>120</v>
      </c>
      <c r="D44" s="6">
        <f>VLOOKUP($B44, CodeMinutesTable[[Code]:[Minutes]], 3, FALSE) * VLOOKUP(D$1, ProviderRatesTable[], 3, FALSE)</f>
        <v>1946.6666666666667</v>
      </c>
      <c r="E44" s="6">
        <f>VLOOKUP($B44, CodeMinutesTable[[Code]:[Minutes]], 3, FALSE) * VLOOKUP(E$1, ProviderRatesTable[], 3, FALSE)</f>
        <v>1825</v>
      </c>
      <c r="F44" s="6">
        <f>VLOOKUP($B44, CodeMinutesTable[[Code]:[Minutes]], 3, FALSE) * VLOOKUP(F$1, ProviderRatesTable[], 3, FALSE)</f>
        <v>1703.3333333333333</v>
      </c>
      <c r="G44" s="6">
        <f>VLOOKUP($B44, CodeMinutesTable[[Code]:[Minutes]], 3, FALSE) * VLOOKUP(G$1, ProviderRatesTable[], 3, FALSE)</f>
        <v>1338.3333333333333</v>
      </c>
      <c r="H44" s="6">
        <f>VLOOKUP($B44, CodeMinutesTable[[Code]:[Minutes]], 3, FALSE) * VLOOKUP(H$1, ProviderRatesTable[], 3, FALSE)</f>
        <v>2068.333333333333</v>
      </c>
      <c r="I44" s="6">
        <f>VLOOKUP($B44, CodeMinutesTable[[Code]:[Minutes]], 3, FALSE) * VLOOKUP(I$1, ProviderRatesTable[], 3, FALSE)</f>
        <v>1095</v>
      </c>
      <c r="J44" s="6">
        <f>VLOOKUP($B44, CodeMinutesTable[[Code]:[Minutes]], 3, FALSE) * VLOOKUP(J$1, ProviderRatesTable[], 3, FALSE)</f>
        <v>973.33333333333337</v>
      </c>
      <c r="K44" s="6">
        <f>VLOOKUP($B44, CodeMinutesTable[[Code]:[Minutes]], 3, FALSE) * VLOOKUP(K$1, ProviderRatesTable[], 3, FALSE)</f>
        <v>608.33333333333337</v>
      </c>
      <c r="L44" s="6">
        <f>VLOOKUP($B44, CodeMinutesTable[[Code]:[Minutes]], 3, FALSE) * VLOOKUP(L$1, ProviderRatesTable[], 3, FALSE)</f>
        <v>486.66666666666669</v>
      </c>
    </row>
    <row r="45" spans="1:12" x14ac:dyDescent="0.25">
      <c r="A45" s="6" t="str">
        <f>INDEX(CodeMinutesTable[Frequently Used],MATCH(CodeRatesTable[[#This Row],[Billing Code]],CodeMinutesTable[Code],0))</f>
        <v>Yes</v>
      </c>
      <c r="B45" s="3" t="s">
        <v>121</v>
      </c>
      <c r="C45" t="s">
        <v>122</v>
      </c>
      <c r="D45" s="6">
        <f>VLOOKUP($B45, CodeMinutesTable[[Code]:[Minutes]], 3, FALSE) * VLOOKUP(D$1, ProviderRatesTable[], 3, FALSE)</f>
        <v>400</v>
      </c>
      <c r="E45" s="6">
        <f>VLOOKUP($B45, CodeMinutesTable[[Code]:[Minutes]], 3, FALSE) * VLOOKUP(E$1, ProviderRatesTable[], 3, FALSE)</f>
        <v>375</v>
      </c>
      <c r="F45" s="6">
        <f>VLOOKUP($B45, CodeMinutesTable[[Code]:[Minutes]], 3, FALSE) * VLOOKUP(F$1, ProviderRatesTable[], 3, FALSE)</f>
        <v>350</v>
      </c>
      <c r="G45" s="6">
        <f>VLOOKUP($B45, CodeMinutesTable[[Code]:[Minutes]], 3, FALSE) * VLOOKUP(G$1, ProviderRatesTable[], 3, FALSE)</f>
        <v>275</v>
      </c>
      <c r="H45" s="6">
        <f>VLOOKUP($B45, CodeMinutesTable[[Code]:[Minutes]], 3, FALSE) * VLOOKUP(H$1, ProviderRatesTable[], 3, FALSE)</f>
        <v>425</v>
      </c>
      <c r="I45" s="6">
        <f>VLOOKUP($B45, CodeMinutesTable[[Code]:[Minutes]], 3, FALSE) * VLOOKUP(I$1, ProviderRatesTable[], 3, FALSE)</f>
        <v>225</v>
      </c>
      <c r="J45" s="6">
        <f>VLOOKUP($B45, CodeMinutesTable[[Code]:[Minutes]], 3, FALSE) * VLOOKUP(J$1, ProviderRatesTable[], 3, FALSE)</f>
        <v>200</v>
      </c>
      <c r="K45" s="6">
        <f>VLOOKUP($B45, CodeMinutesTable[[Code]:[Minutes]], 3, FALSE) * VLOOKUP(K$1, ProviderRatesTable[], 3, FALSE)</f>
        <v>125.00000000000001</v>
      </c>
      <c r="L45" s="6">
        <f>VLOOKUP($B45, CodeMinutesTable[[Code]:[Minutes]], 3, FALSE) * VLOOKUP(L$1, ProviderRatesTable[], 3, FALSE)</f>
        <v>100</v>
      </c>
    </row>
    <row r="46" spans="1:12" x14ac:dyDescent="0.25">
      <c r="A46" s="6" t="str">
        <f>INDEX(CodeMinutesTable[Frequently Used],MATCH(CodeRatesTable[[#This Row],[Billing Code]],CodeMinutesTable[Code],0))</f>
        <v>Yes</v>
      </c>
      <c r="B46" s="3" t="s">
        <v>123</v>
      </c>
      <c r="C46" t="s">
        <v>124</v>
      </c>
      <c r="D46" s="6">
        <f>VLOOKUP($B46, CodeMinutesTable[[Code]:[Minutes]], 3, FALSE) * VLOOKUP(D$1, ProviderRatesTable[], 3, FALSE)</f>
        <v>746.66666666666674</v>
      </c>
      <c r="E46" s="6">
        <f>VLOOKUP($B46, CodeMinutesTable[[Code]:[Minutes]], 3, FALSE) * VLOOKUP(E$1, ProviderRatesTable[], 3, FALSE)</f>
        <v>700</v>
      </c>
      <c r="F46" s="6">
        <f>VLOOKUP($B46, CodeMinutesTable[[Code]:[Minutes]], 3, FALSE) * VLOOKUP(F$1, ProviderRatesTable[], 3, FALSE)</f>
        <v>653.33333333333326</v>
      </c>
      <c r="G46" s="6">
        <f>VLOOKUP($B46, CodeMinutesTable[[Code]:[Minutes]], 3, FALSE) * VLOOKUP(G$1, ProviderRatesTable[], 3, FALSE)</f>
        <v>513.33333333333326</v>
      </c>
      <c r="H46" s="6">
        <f>VLOOKUP($B46, CodeMinutesTable[[Code]:[Minutes]], 3, FALSE) * VLOOKUP(H$1, ProviderRatesTable[], 3, FALSE)</f>
        <v>793.33333333333326</v>
      </c>
      <c r="I46" s="6">
        <f>VLOOKUP($B46, CodeMinutesTable[[Code]:[Minutes]], 3, FALSE) * VLOOKUP(I$1, ProviderRatesTable[], 3, FALSE)</f>
        <v>420</v>
      </c>
      <c r="J46" s="6">
        <f>VLOOKUP($B46, CodeMinutesTable[[Code]:[Minutes]], 3, FALSE) * VLOOKUP(J$1, ProviderRatesTable[], 3, FALSE)</f>
        <v>373.33333333333337</v>
      </c>
      <c r="K46" s="6">
        <f>VLOOKUP($B46, CodeMinutesTable[[Code]:[Minutes]], 3, FALSE) * VLOOKUP(K$1, ProviderRatesTable[], 3, FALSE)</f>
        <v>233.33333333333334</v>
      </c>
      <c r="L46" s="6">
        <f>VLOOKUP($B46, CodeMinutesTable[[Code]:[Minutes]], 3, FALSE) * VLOOKUP(L$1, ProviderRatesTable[], 3, FALSE)</f>
        <v>186.66666666666669</v>
      </c>
    </row>
    <row r="47" spans="1:12" x14ac:dyDescent="0.25">
      <c r="A47" s="6" t="str">
        <f>INDEX(CodeMinutesTable[Frequently Used],MATCH(CodeRatesTable[[#This Row],[Billing Code]],CodeMinutesTable[Code],0))</f>
        <v>Yes</v>
      </c>
      <c r="B47" s="3" t="s">
        <v>125</v>
      </c>
      <c r="C47" t="s">
        <v>126</v>
      </c>
      <c r="D47" s="6">
        <f>VLOOKUP($B47, CodeMinutesTable[[Code]:[Minutes]], 3, FALSE) * VLOOKUP(D$1, ProviderRatesTable[], 3, FALSE)</f>
        <v>1146.6666666666667</v>
      </c>
      <c r="E47" s="6">
        <f>VLOOKUP($B47, CodeMinutesTable[[Code]:[Minutes]], 3, FALSE) * VLOOKUP(E$1, ProviderRatesTable[], 3, FALSE)</f>
        <v>1075</v>
      </c>
      <c r="F47" s="6">
        <f>VLOOKUP($B47, CodeMinutesTable[[Code]:[Minutes]], 3, FALSE) * VLOOKUP(F$1, ProviderRatesTable[], 3, FALSE)</f>
        <v>1003.3333333333333</v>
      </c>
      <c r="G47" s="6">
        <f>VLOOKUP($B47, CodeMinutesTable[[Code]:[Minutes]], 3, FALSE) * VLOOKUP(G$1, ProviderRatesTable[], 3, FALSE)</f>
        <v>788.33333333333326</v>
      </c>
      <c r="H47" s="6">
        <f>VLOOKUP($B47, CodeMinutesTable[[Code]:[Minutes]], 3, FALSE) * VLOOKUP(H$1, ProviderRatesTable[], 3, FALSE)</f>
        <v>1218.3333333333333</v>
      </c>
      <c r="I47" s="6">
        <f>VLOOKUP($B47, CodeMinutesTable[[Code]:[Minutes]], 3, FALSE) * VLOOKUP(I$1, ProviderRatesTable[], 3, FALSE)</f>
        <v>645</v>
      </c>
      <c r="J47" s="6">
        <f>VLOOKUP($B47, CodeMinutesTable[[Code]:[Minutes]], 3, FALSE) * VLOOKUP(J$1, ProviderRatesTable[], 3, FALSE)</f>
        <v>573.33333333333337</v>
      </c>
      <c r="K47" s="6">
        <f>VLOOKUP($B47, CodeMinutesTable[[Code]:[Minutes]], 3, FALSE) * VLOOKUP(K$1, ProviderRatesTable[], 3, FALSE)</f>
        <v>358.33333333333337</v>
      </c>
      <c r="L47" s="6">
        <f>VLOOKUP($B47, CodeMinutesTable[[Code]:[Minutes]], 3, FALSE) * VLOOKUP(L$1, ProviderRatesTable[], 3, FALSE)</f>
        <v>286.66666666666669</v>
      </c>
    </row>
    <row r="48" spans="1:12" x14ac:dyDescent="0.25">
      <c r="A48" s="6" t="str">
        <f>INDEX(CodeMinutesTable[Frequently Used],MATCH(CodeRatesTable[[#This Row],[Billing Code]],CodeMinutesTable[Code],0))</f>
        <v>Yes</v>
      </c>
      <c r="B48" s="3" t="s">
        <v>127</v>
      </c>
      <c r="C48" t="s">
        <v>128</v>
      </c>
      <c r="D48" s="6">
        <f>VLOOKUP($B48, CodeMinutesTable[[Code]:[Minutes]], 3, FALSE) * VLOOKUP(D$1, ProviderRatesTable[], 3, FALSE)</f>
        <v>1626.6666666666667</v>
      </c>
      <c r="E48" s="6">
        <f>VLOOKUP($B48, CodeMinutesTable[[Code]:[Minutes]], 3, FALSE) * VLOOKUP(E$1, ProviderRatesTable[], 3, FALSE)</f>
        <v>1525</v>
      </c>
      <c r="F48" s="6">
        <f>VLOOKUP($B48, CodeMinutesTable[[Code]:[Minutes]], 3, FALSE) * VLOOKUP(F$1, ProviderRatesTable[], 3, FALSE)</f>
        <v>1423.3333333333333</v>
      </c>
      <c r="G48" s="6">
        <f>VLOOKUP($B48, CodeMinutesTable[[Code]:[Minutes]], 3, FALSE) * VLOOKUP(G$1, ProviderRatesTable[], 3, FALSE)</f>
        <v>1118.3333333333333</v>
      </c>
      <c r="H48" s="6">
        <f>VLOOKUP($B48, CodeMinutesTable[[Code]:[Minutes]], 3, FALSE) * VLOOKUP(H$1, ProviderRatesTable[], 3, FALSE)</f>
        <v>1728.3333333333333</v>
      </c>
      <c r="I48" s="6">
        <f>VLOOKUP($B48, CodeMinutesTable[[Code]:[Minutes]], 3, FALSE) * VLOOKUP(I$1, ProviderRatesTable[], 3, FALSE)</f>
        <v>915</v>
      </c>
      <c r="J48" s="6">
        <f>VLOOKUP($B48, CodeMinutesTable[[Code]:[Minutes]], 3, FALSE) * VLOOKUP(J$1, ProviderRatesTable[], 3, FALSE)</f>
        <v>813.33333333333337</v>
      </c>
      <c r="K48" s="6">
        <f>VLOOKUP($B48, CodeMinutesTable[[Code]:[Minutes]], 3, FALSE) * VLOOKUP(K$1, ProviderRatesTable[], 3, FALSE)</f>
        <v>508.33333333333337</v>
      </c>
      <c r="L48" s="6">
        <f>VLOOKUP($B48, CodeMinutesTable[[Code]:[Minutes]], 3, FALSE) * VLOOKUP(L$1, ProviderRatesTable[], 3, FALSE)</f>
        <v>406.66666666666669</v>
      </c>
    </row>
    <row r="49" spans="1:12" x14ac:dyDescent="0.25">
      <c r="A49" s="6" t="str">
        <f>INDEX(CodeMinutesTable[Frequently Used],MATCH(CodeRatesTable[[#This Row],[Billing Code]],CodeMinutesTable[Code],0))</f>
        <v>Yes</v>
      </c>
      <c r="B49" s="3" t="s">
        <v>129</v>
      </c>
      <c r="C49" t="s">
        <v>130</v>
      </c>
      <c r="D49" s="6">
        <f>VLOOKUP($B49, CodeMinutesTable[[Code]:[Minutes]], 3, FALSE) * VLOOKUP(D$1, ProviderRatesTable[], 3, FALSE)</f>
        <v>586.66666666666674</v>
      </c>
      <c r="E49" s="6">
        <f>VLOOKUP($B49, CodeMinutesTable[[Code]:[Minutes]], 3, FALSE) * VLOOKUP(E$1, ProviderRatesTable[], 3, FALSE)</f>
        <v>550</v>
      </c>
      <c r="F49" s="6">
        <f>VLOOKUP($B49, CodeMinutesTable[[Code]:[Minutes]], 3, FALSE) * VLOOKUP(F$1, ProviderRatesTable[], 3, FALSE)</f>
        <v>513.33333333333326</v>
      </c>
      <c r="G49" s="6">
        <f>VLOOKUP($B49, CodeMinutesTable[[Code]:[Minutes]], 3, FALSE) * VLOOKUP(G$1, ProviderRatesTable[], 3, FALSE)</f>
        <v>403.33333333333331</v>
      </c>
      <c r="H49" s="6">
        <f>VLOOKUP($B49, CodeMinutesTable[[Code]:[Minutes]], 3, FALSE) * VLOOKUP(H$1, ProviderRatesTable[], 3, FALSE)</f>
        <v>623.33333333333326</v>
      </c>
      <c r="I49" s="6">
        <f>VLOOKUP($B49, CodeMinutesTable[[Code]:[Minutes]], 3, FALSE) * VLOOKUP(I$1, ProviderRatesTable[], 3, FALSE)</f>
        <v>330</v>
      </c>
      <c r="J49" s="6">
        <f>VLOOKUP($B49, CodeMinutesTable[[Code]:[Minutes]], 3, FALSE) * VLOOKUP(J$1, ProviderRatesTable[], 3, FALSE)</f>
        <v>293.33333333333337</v>
      </c>
      <c r="K49" s="6">
        <f>VLOOKUP($B49, CodeMinutesTable[[Code]:[Minutes]], 3, FALSE) * VLOOKUP(K$1, ProviderRatesTable[], 3, FALSE)</f>
        <v>183.33333333333334</v>
      </c>
      <c r="L49" s="6">
        <f>VLOOKUP($B49, CodeMinutesTable[[Code]:[Minutes]], 3, FALSE) * VLOOKUP(L$1, ProviderRatesTable[], 3, FALSE)</f>
        <v>146.66666666666669</v>
      </c>
    </row>
    <row r="50" spans="1:12" x14ac:dyDescent="0.25">
      <c r="A50" s="6" t="str">
        <f>INDEX(CodeMinutesTable[Frequently Used],MATCH(CodeRatesTable[[#This Row],[Billing Code]],CodeMinutesTable[Code],0))</f>
        <v>Yes</v>
      </c>
      <c r="B50" s="3" t="s">
        <v>131</v>
      </c>
      <c r="C50" t="s">
        <v>132</v>
      </c>
      <c r="D50" s="6">
        <f>VLOOKUP($B50, CodeMinutesTable[[Code]:[Minutes]], 3, FALSE) * VLOOKUP(D$1, ProviderRatesTable[], 3, FALSE)</f>
        <v>800</v>
      </c>
      <c r="E50" s="6">
        <f>VLOOKUP($B50, CodeMinutesTable[[Code]:[Minutes]], 3, FALSE) * VLOOKUP(E$1, ProviderRatesTable[], 3, FALSE)</f>
        <v>750</v>
      </c>
      <c r="F50" s="6">
        <f>VLOOKUP($B50, CodeMinutesTable[[Code]:[Minutes]], 3, FALSE) * VLOOKUP(F$1, ProviderRatesTable[], 3, FALSE)</f>
        <v>700</v>
      </c>
      <c r="G50" s="6">
        <f>VLOOKUP($B50, CodeMinutesTable[[Code]:[Minutes]], 3, FALSE) * VLOOKUP(G$1, ProviderRatesTable[], 3, FALSE)</f>
        <v>550</v>
      </c>
      <c r="H50" s="6">
        <f>VLOOKUP($B50, CodeMinutesTable[[Code]:[Minutes]], 3, FALSE) * VLOOKUP(H$1, ProviderRatesTable[], 3, FALSE)</f>
        <v>850</v>
      </c>
      <c r="I50" s="6">
        <f>VLOOKUP($B50, CodeMinutesTable[[Code]:[Minutes]], 3, FALSE) * VLOOKUP(I$1, ProviderRatesTable[], 3, FALSE)</f>
        <v>450</v>
      </c>
      <c r="J50" s="6">
        <f>VLOOKUP($B50, CodeMinutesTable[[Code]:[Minutes]], 3, FALSE) * VLOOKUP(J$1, ProviderRatesTable[], 3, FALSE)</f>
        <v>400</v>
      </c>
      <c r="K50" s="6">
        <f>VLOOKUP($B50, CodeMinutesTable[[Code]:[Minutes]], 3, FALSE) * VLOOKUP(K$1, ProviderRatesTable[], 3, FALSE)</f>
        <v>250.00000000000003</v>
      </c>
      <c r="L50" s="6">
        <f>VLOOKUP($B50, CodeMinutesTable[[Code]:[Minutes]], 3, FALSE) * VLOOKUP(L$1, ProviderRatesTable[], 3, FALSE)</f>
        <v>200</v>
      </c>
    </row>
    <row r="51" spans="1:12" x14ac:dyDescent="0.25">
      <c r="A51" s="6" t="str">
        <f>INDEX(CodeMinutesTable[Frequently Used],MATCH(CodeRatesTable[[#This Row],[Billing Code]],CodeMinutesTable[Code],0))</f>
        <v>Yes</v>
      </c>
      <c r="B51" s="3" t="s">
        <v>133</v>
      </c>
      <c r="C51" t="s">
        <v>134</v>
      </c>
      <c r="D51" s="6">
        <f>VLOOKUP($B51, CodeMinutesTable[[Code]:[Minutes]], 3, FALSE) * VLOOKUP(D$1, ProviderRatesTable[], 3, FALSE)</f>
        <v>533.33333333333337</v>
      </c>
      <c r="E51" s="6">
        <f>VLOOKUP($B51, CodeMinutesTable[[Code]:[Minutes]], 3, FALSE) * VLOOKUP(E$1, ProviderRatesTable[], 3, FALSE)</f>
        <v>500</v>
      </c>
      <c r="F51" s="6">
        <f>VLOOKUP($B51, CodeMinutesTable[[Code]:[Minutes]], 3, FALSE) * VLOOKUP(F$1, ProviderRatesTable[], 3, FALSE)</f>
        <v>466.66666666666663</v>
      </c>
      <c r="G51" s="6">
        <f>VLOOKUP($B51, CodeMinutesTable[[Code]:[Minutes]], 3, FALSE) * VLOOKUP(G$1, ProviderRatesTable[], 3, FALSE)</f>
        <v>366.66666666666663</v>
      </c>
      <c r="H51" s="6">
        <f>VLOOKUP($B51, CodeMinutesTable[[Code]:[Minutes]], 3, FALSE) * VLOOKUP(H$1, ProviderRatesTable[], 3, FALSE)</f>
        <v>566.66666666666663</v>
      </c>
      <c r="I51" s="6">
        <f>VLOOKUP($B51, CodeMinutesTable[[Code]:[Minutes]], 3, FALSE) * VLOOKUP(I$1, ProviderRatesTable[], 3, FALSE)</f>
        <v>300</v>
      </c>
      <c r="J51" s="6">
        <f>VLOOKUP($B51, CodeMinutesTable[[Code]:[Minutes]], 3, FALSE) * VLOOKUP(J$1, ProviderRatesTable[], 3, FALSE)</f>
        <v>266.66666666666669</v>
      </c>
      <c r="K51" s="6">
        <f>VLOOKUP($B51, CodeMinutesTable[[Code]:[Minutes]], 3, FALSE) * VLOOKUP(K$1, ProviderRatesTable[], 3, FALSE)</f>
        <v>166.66666666666669</v>
      </c>
      <c r="L51" s="6">
        <f>VLOOKUP($B51, CodeMinutesTable[[Code]:[Minutes]], 3, FALSE) * VLOOKUP(L$1, ProviderRatesTable[], 3, FALSE)</f>
        <v>133.33333333333334</v>
      </c>
    </row>
    <row r="52" spans="1:12" x14ac:dyDescent="0.25">
      <c r="A52" s="6" t="str">
        <f>INDEX(CodeMinutesTable[Frequently Used],MATCH(CodeRatesTable[[#This Row],[Billing Code]],CodeMinutesTable[Code],0))</f>
        <v>Yes</v>
      </c>
      <c r="B52" s="3" t="s">
        <v>135</v>
      </c>
      <c r="C52" t="s">
        <v>136</v>
      </c>
      <c r="D52" s="6">
        <f>VLOOKUP($B52, CodeMinutesTable[[Code]:[Minutes]], 3, FALSE) * VLOOKUP(D$1, ProviderRatesTable[], 3, FALSE)</f>
        <v>826.66666666666674</v>
      </c>
      <c r="E52" s="6">
        <f>VLOOKUP($B52, CodeMinutesTable[[Code]:[Minutes]], 3, FALSE) * VLOOKUP(E$1, ProviderRatesTable[], 3, FALSE)</f>
        <v>775</v>
      </c>
      <c r="F52" s="6">
        <f>VLOOKUP($B52, CodeMinutesTable[[Code]:[Minutes]], 3, FALSE) * VLOOKUP(F$1, ProviderRatesTable[], 3, FALSE)</f>
        <v>723.33333333333326</v>
      </c>
      <c r="G52" s="6">
        <f>VLOOKUP($B52, CodeMinutesTable[[Code]:[Minutes]], 3, FALSE) * VLOOKUP(G$1, ProviderRatesTable[], 3, FALSE)</f>
        <v>568.33333333333326</v>
      </c>
      <c r="H52" s="6">
        <f>VLOOKUP($B52, CodeMinutesTable[[Code]:[Minutes]], 3, FALSE) * VLOOKUP(H$1, ProviderRatesTable[], 3, FALSE)</f>
        <v>878.33333333333326</v>
      </c>
      <c r="I52" s="6">
        <f>VLOOKUP($B52, CodeMinutesTable[[Code]:[Minutes]], 3, FALSE) * VLOOKUP(I$1, ProviderRatesTable[], 3, FALSE)</f>
        <v>465</v>
      </c>
      <c r="J52" s="6">
        <f>VLOOKUP($B52, CodeMinutesTable[[Code]:[Minutes]], 3, FALSE) * VLOOKUP(J$1, ProviderRatesTable[], 3, FALSE)</f>
        <v>413.33333333333337</v>
      </c>
      <c r="K52" s="6">
        <f>VLOOKUP($B52, CodeMinutesTable[[Code]:[Minutes]], 3, FALSE) * VLOOKUP(K$1, ProviderRatesTable[], 3, FALSE)</f>
        <v>258.33333333333337</v>
      </c>
      <c r="L52" s="6">
        <f>VLOOKUP($B52, CodeMinutesTable[[Code]:[Minutes]], 3, FALSE) * VLOOKUP(L$1, ProviderRatesTable[], 3, FALSE)</f>
        <v>206.66666666666669</v>
      </c>
    </row>
    <row r="53" spans="1:12" x14ac:dyDescent="0.25">
      <c r="A53" s="6" t="str">
        <f>INDEX(CodeMinutesTable[Frequently Used],MATCH(CodeRatesTable[[#This Row],[Billing Code]],CodeMinutesTable[Code],0))</f>
        <v>Yes</v>
      </c>
      <c r="B53" s="3" t="s">
        <v>137</v>
      </c>
      <c r="C53" t="s">
        <v>138</v>
      </c>
      <c r="D53" s="6">
        <f>VLOOKUP($B53, CodeMinutesTable[[Code]:[Minutes]], 3, FALSE) * VLOOKUP(D$1, ProviderRatesTable[], 3, FALSE)</f>
        <v>1146.6666666666667</v>
      </c>
      <c r="E53" s="6">
        <f>VLOOKUP($B53, CodeMinutesTable[[Code]:[Minutes]], 3, FALSE) * VLOOKUP(E$1, ProviderRatesTable[], 3, FALSE)</f>
        <v>1075</v>
      </c>
      <c r="F53" s="6">
        <f>VLOOKUP($B53, CodeMinutesTable[[Code]:[Minutes]], 3, FALSE) * VLOOKUP(F$1, ProviderRatesTable[], 3, FALSE)</f>
        <v>1003.3333333333333</v>
      </c>
      <c r="G53" s="6">
        <f>VLOOKUP($B53, CodeMinutesTable[[Code]:[Minutes]], 3, FALSE) * VLOOKUP(G$1, ProviderRatesTable[], 3, FALSE)</f>
        <v>788.33333333333326</v>
      </c>
      <c r="H53" s="6">
        <f>VLOOKUP($B53, CodeMinutesTable[[Code]:[Minutes]], 3, FALSE) * VLOOKUP(H$1, ProviderRatesTable[], 3, FALSE)</f>
        <v>1218.3333333333333</v>
      </c>
      <c r="I53" s="6">
        <f>VLOOKUP($B53, CodeMinutesTable[[Code]:[Minutes]], 3, FALSE) * VLOOKUP(I$1, ProviderRatesTable[], 3, FALSE)</f>
        <v>645</v>
      </c>
      <c r="J53" s="6">
        <f>VLOOKUP($B53, CodeMinutesTable[[Code]:[Minutes]], 3, FALSE) * VLOOKUP(J$1, ProviderRatesTable[], 3, FALSE)</f>
        <v>573.33333333333337</v>
      </c>
      <c r="K53" s="6">
        <f>VLOOKUP($B53, CodeMinutesTable[[Code]:[Minutes]], 3, FALSE) * VLOOKUP(K$1, ProviderRatesTable[], 3, FALSE)</f>
        <v>358.33333333333337</v>
      </c>
      <c r="L53" s="6">
        <f>VLOOKUP($B53, CodeMinutesTable[[Code]:[Minutes]], 3, FALSE) * VLOOKUP(L$1, ProviderRatesTable[], 3, FALSE)</f>
        <v>286.66666666666669</v>
      </c>
    </row>
    <row r="54" spans="1:12" x14ac:dyDescent="0.25">
      <c r="A54" s="6" t="str">
        <f>INDEX(CodeMinutesTable[Frequently Used],MATCH(CodeRatesTable[[#This Row],[Billing Code]],CodeMinutesTable[Code],0))</f>
        <v>Yes</v>
      </c>
      <c r="B54" s="3" t="s">
        <v>139</v>
      </c>
      <c r="C54" t="s">
        <v>140</v>
      </c>
      <c r="D54" s="6">
        <f>VLOOKUP($B54, CodeMinutesTable[[Code]:[Minutes]], 3, FALSE) * VLOOKUP(D$1, ProviderRatesTable[], 3, FALSE)</f>
        <v>1546.6666666666667</v>
      </c>
      <c r="E54" s="6">
        <f>VLOOKUP($B54, CodeMinutesTable[[Code]:[Minutes]], 3, FALSE) * VLOOKUP(E$1, ProviderRatesTable[], 3, FALSE)</f>
        <v>1450</v>
      </c>
      <c r="F54" s="6">
        <f>VLOOKUP($B54, CodeMinutesTable[[Code]:[Minutes]], 3, FALSE) * VLOOKUP(F$1, ProviderRatesTable[], 3, FALSE)</f>
        <v>1353.3333333333333</v>
      </c>
      <c r="G54" s="6">
        <f>VLOOKUP($B54, CodeMinutesTable[[Code]:[Minutes]], 3, FALSE) * VLOOKUP(G$1, ProviderRatesTable[], 3, FALSE)</f>
        <v>1063.3333333333333</v>
      </c>
      <c r="H54" s="6">
        <f>VLOOKUP($B54, CodeMinutesTable[[Code]:[Minutes]], 3, FALSE) * VLOOKUP(H$1, ProviderRatesTable[], 3, FALSE)</f>
        <v>1643.3333333333333</v>
      </c>
      <c r="I54" s="6">
        <f>VLOOKUP($B54, CodeMinutesTable[[Code]:[Minutes]], 3, FALSE) * VLOOKUP(I$1, ProviderRatesTable[], 3, FALSE)</f>
        <v>870</v>
      </c>
      <c r="J54" s="6">
        <f>VLOOKUP($B54, CodeMinutesTable[[Code]:[Minutes]], 3, FALSE) * VLOOKUP(J$1, ProviderRatesTable[], 3, FALSE)</f>
        <v>773.33333333333337</v>
      </c>
      <c r="K54" s="6">
        <f>VLOOKUP($B54, CodeMinutesTable[[Code]:[Minutes]], 3, FALSE) * VLOOKUP(K$1, ProviderRatesTable[], 3, FALSE)</f>
        <v>483.33333333333337</v>
      </c>
      <c r="L54" s="6">
        <f>VLOOKUP($B54, CodeMinutesTable[[Code]:[Minutes]], 3, FALSE) * VLOOKUP(L$1, ProviderRatesTable[], 3, FALSE)</f>
        <v>386.66666666666669</v>
      </c>
    </row>
    <row r="55" spans="1:12" x14ac:dyDescent="0.25">
      <c r="A55" s="6" t="str">
        <f>INDEX(CodeMinutesTable[Frequently Used],MATCH(CodeRatesTable[[#This Row],[Billing Code]],CodeMinutesTable[Code],0))</f>
        <v>Yes</v>
      </c>
      <c r="B55" s="3" t="s">
        <v>141</v>
      </c>
      <c r="C55" t="s">
        <v>142</v>
      </c>
      <c r="D55" s="6">
        <f>VLOOKUP($B55, CodeMinutesTable[[Code]:[Minutes]], 3, FALSE) * VLOOKUP(D$1, ProviderRatesTable[], 3, FALSE)</f>
        <v>1946.6666666666667</v>
      </c>
      <c r="E55" s="6">
        <f>VLOOKUP($B55, CodeMinutesTable[[Code]:[Minutes]], 3, FALSE) * VLOOKUP(E$1, ProviderRatesTable[], 3, FALSE)</f>
        <v>1825</v>
      </c>
      <c r="F55" s="6">
        <f>VLOOKUP($B55, CodeMinutesTable[[Code]:[Minutes]], 3, FALSE) * VLOOKUP(F$1, ProviderRatesTable[], 3, FALSE)</f>
        <v>1703.3333333333333</v>
      </c>
      <c r="G55" s="6">
        <f>VLOOKUP($B55, CodeMinutesTable[[Code]:[Minutes]], 3, FALSE) * VLOOKUP(G$1, ProviderRatesTable[], 3, FALSE)</f>
        <v>1338.3333333333333</v>
      </c>
      <c r="H55" s="6">
        <f>VLOOKUP($B55, CodeMinutesTable[[Code]:[Minutes]], 3, FALSE) * VLOOKUP(H$1, ProviderRatesTable[], 3, FALSE)</f>
        <v>2068.333333333333</v>
      </c>
      <c r="I55" s="6">
        <f>VLOOKUP($B55, CodeMinutesTable[[Code]:[Minutes]], 3, FALSE) * VLOOKUP(I$1, ProviderRatesTable[], 3, FALSE)</f>
        <v>1095</v>
      </c>
      <c r="J55" s="6">
        <f>VLOOKUP($B55, CodeMinutesTable[[Code]:[Minutes]], 3, FALSE) * VLOOKUP(J$1, ProviderRatesTable[], 3, FALSE)</f>
        <v>973.33333333333337</v>
      </c>
      <c r="K55" s="6">
        <f>VLOOKUP($B55, CodeMinutesTable[[Code]:[Minutes]], 3, FALSE) * VLOOKUP(K$1, ProviderRatesTable[], 3, FALSE)</f>
        <v>608.33333333333337</v>
      </c>
      <c r="L55" s="6">
        <f>VLOOKUP($B55, CodeMinutesTable[[Code]:[Minutes]], 3, FALSE) * VLOOKUP(L$1, ProviderRatesTable[], 3, FALSE)</f>
        <v>486.66666666666669</v>
      </c>
    </row>
    <row r="56" spans="1:12" x14ac:dyDescent="0.25">
      <c r="A56" s="6" t="str">
        <f>INDEX(CodeMinutesTable[Frequently Used],MATCH(CodeRatesTable[[#This Row],[Billing Code]],CodeMinutesTable[Code],0))</f>
        <v>Yes</v>
      </c>
      <c r="B56" s="3" t="s">
        <v>143</v>
      </c>
      <c r="C56" t="s">
        <v>144</v>
      </c>
      <c r="D56" s="6">
        <f>VLOOKUP($B56, CodeMinutesTable[[Code]:[Minutes]], 3, FALSE) * VLOOKUP(D$1, ProviderRatesTable[], 3, FALSE)</f>
        <v>400</v>
      </c>
      <c r="E56" s="6">
        <f>VLOOKUP($B56, CodeMinutesTable[[Code]:[Minutes]], 3, FALSE) * VLOOKUP(E$1, ProviderRatesTable[], 3, FALSE)</f>
        <v>375</v>
      </c>
      <c r="F56" s="6">
        <f>VLOOKUP($B56, CodeMinutesTable[[Code]:[Minutes]], 3, FALSE) * VLOOKUP(F$1, ProviderRatesTable[], 3, FALSE)</f>
        <v>350</v>
      </c>
      <c r="G56" s="6">
        <f>VLOOKUP($B56, CodeMinutesTable[[Code]:[Minutes]], 3, FALSE) * VLOOKUP(G$1, ProviderRatesTable[], 3, FALSE)</f>
        <v>275</v>
      </c>
      <c r="H56" s="6">
        <f>VLOOKUP($B56, CodeMinutesTable[[Code]:[Minutes]], 3, FALSE) * VLOOKUP(H$1, ProviderRatesTable[], 3, FALSE)</f>
        <v>425</v>
      </c>
      <c r="I56" s="6">
        <f>VLOOKUP($B56, CodeMinutesTable[[Code]:[Minutes]], 3, FALSE) * VLOOKUP(I$1, ProviderRatesTable[], 3, FALSE)</f>
        <v>225</v>
      </c>
      <c r="J56" s="6">
        <f>VLOOKUP($B56, CodeMinutesTable[[Code]:[Minutes]], 3, FALSE) * VLOOKUP(J$1, ProviderRatesTable[], 3, FALSE)</f>
        <v>200</v>
      </c>
      <c r="K56" s="6">
        <f>VLOOKUP($B56, CodeMinutesTable[[Code]:[Minutes]], 3, FALSE) * VLOOKUP(K$1, ProviderRatesTable[], 3, FALSE)</f>
        <v>125.00000000000001</v>
      </c>
      <c r="L56" s="6">
        <f>VLOOKUP($B56, CodeMinutesTable[[Code]:[Minutes]], 3, FALSE) * VLOOKUP(L$1, ProviderRatesTable[], 3, FALSE)</f>
        <v>100</v>
      </c>
    </row>
    <row r="57" spans="1:12" x14ac:dyDescent="0.25">
      <c r="A57" s="6" t="str">
        <f>INDEX(CodeMinutesTable[Frequently Used],MATCH(CodeRatesTable[[#This Row],[Billing Code]],CodeMinutesTable[Code],0))</f>
        <v>Yes</v>
      </c>
      <c r="B57" s="3" t="s">
        <v>145</v>
      </c>
      <c r="C57" t="s">
        <v>146</v>
      </c>
      <c r="D57" s="6">
        <f>VLOOKUP($B57, CodeMinutesTable[[Code]:[Minutes]], 3, FALSE) * VLOOKUP(D$1, ProviderRatesTable[], 3, FALSE)</f>
        <v>746.66666666666674</v>
      </c>
      <c r="E57" s="6">
        <f>VLOOKUP($B57, CodeMinutesTable[[Code]:[Minutes]], 3, FALSE) * VLOOKUP(E$1, ProviderRatesTable[], 3, FALSE)</f>
        <v>700</v>
      </c>
      <c r="F57" s="6">
        <f>VLOOKUP($B57, CodeMinutesTable[[Code]:[Minutes]], 3, FALSE) * VLOOKUP(F$1, ProviderRatesTable[], 3, FALSE)</f>
        <v>653.33333333333326</v>
      </c>
      <c r="G57" s="6">
        <f>VLOOKUP($B57, CodeMinutesTable[[Code]:[Minutes]], 3, FALSE) * VLOOKUP(G$1, ProviderRatesTable[], 3, FALSE)</f>
        <v>513.33333333333326</v>
      </c>
      <c r="H57" s="6">
        <f>VLOOKUP($B57, CodeMinutesTable[[Code]:[Minutes]], 3, FALSE) * VLOOKUP(H$1, ProviderRatesTable[], 3, FALSE)</f>
        <v>793.33333333333326</v>
      </c>
      <c r="I57" s="6">
        <f>VLOOKUP($B57, CodeMinutesTable[[Code]:[Minutes]], 3, FALSE) * VLOOKUP(I$1, ProviderRatesTable[], 3, FALSE)</f>
        <v>420</v>
      </c>
      <c r="J57" s="6">
        <f>VLOOKUP($B57, CodeMinutesTable[[Code]:[Minutes]], 3, FALSE) * VLOOKUP(J$1, ProviderRatesTable[], 3, FALSE)</f>
        <v>373.33333333333337</v>
      </c>
      <c r="K57" s="6">
        <f>VLOOKUP($B57, CodeMinutesTable[[Code]:[Minutes]], 3, FALSE) * VLOOKUP(K$1, ProviderRatesTable[], 3, FALSE)</f>
        <v>233.33333333333334</v>
      </c>
      <c r="L57" s="6">
        <f>VLOOKUP($B57, CodeMinutesTable[[Code]:[Minutes]], 3, FALSE) * VLOOKUP(L$1, ProviderRatesTable[], 3, FALSE)</f>
        <v>186.66666666666669</v>
      </c>
    </row>
    <row r="58" spans="1:12" x14ac:dyDescent="0.25">
      <c r="A58" s="6" t="str">
        <f>INDEX(CodeMinutesTable[Frequently Used],MATCH(CodeRatesTable[[#This Row],[Billing Code]],CodeMinutesTable[Code],0))</f>
        <v>Yes</v>
      </c>
      <c r="B58" s="3" t="s">
        <v>147</v>
      </c>
      <c r="C58" t="s">
        <v>148</v>
      </c>
      <c r="D58" s="6">
        <f>VLOOKUP($B58, CodeMinutesTable[[Code]:[Minutes]], 3, FALSE) * VLOOKUP(D$1, ProviderRatesTable[], 3, FALSE)</f>
        <v>1146.6666666666667</v>
      </c>
      <c r="E58" s="6">
        <f>VLOOKUP($B58, CodeMinutesTable[[Code]:[Minutes]], 3, FALSE) * VLOOKUP(E$1, ProviderRatesTable[], 3, FALSE)</f>
        <v>1075</v>
      </c>
      <c r="F58" s="6">
        <f>VLOOKUP($B58, CodeMinutesTable[[Code]:[Minutes]], 3, FALSE) * VLOOKUP(F$1, ProviderRatesTable[], 3, FALSE)</f>
        <v>1003.3333333333333</v>
      </c>
      <c r="G58" s="6">
        <f>VLOOKUP($B58, CodeMinutesTable[[Code]:[Minutes]], 3, FALSE) * VLOOKUP(G$1, ProviderRatesTable[], 3, FALSE)</f>
        <v>788.33333333333326</v>
      </c>
      <c r="H58" s="6">
        <f>VLOOKUP($B58, CodeMinutesTable[[Code]:[Minutes]], 3, FALSE) * VLOOKUP(H$1, ProviderRatesTable[], 3, FALSE)</f>
        <v>1218.3333333333333</v>
      </c>
      <c r="I58" s="6">
        <f>VLOOKUP($B58, CodeMinutesTable[[Code]:[Minutes]], 3, FALSE) * VLOOKUP(I$1, ProviderRatesTable[], 3, FALSE)</f>
        <v>645</v>
      </c>
      <c r="J58" s="6">
        <f>VLOOKUP($B58, CodeMinutesTable[[Code]:[Minutes]], 3, FALSE) * VLOOKUP(J$1, ProviderRatesTable[], 3, FALSE)</f>
        <v>573.33333333333337</v>
      </c>
      <c r="K58" s="6">
        <f>VLOOKUP($B58, CodeMinutesTable[[Code]:[Minutes]], 3, FALSE) * VLOOKUP(K$1, ProviderRatesTable[], 3, FALSE)</f>
        <v>358.33333333333337</v>
      </c>
      <c r="L58" s="6">
        <f>VLOOKUP($B58, CodeMinutesTable[[Code]:[Minutes]], 3, FALSE) * VLOOKUP(L$1, ProviderRatesTable[], 3, FALSE)</f>
        <v>286.66666666666669</v>
      </c>
    </row>
    <row r="59" spans="1:12" x14ac:dyDescent="0.25">
      <c r="A59" s="6" t="str">
        <f>INDEX(CodeMinutesTable[Frequently Used],MATCH(CodeRatesTable[[#This Row],[Billing Code]],CodeMinutesTable[Code],0))</f>
        <v>Yes</v>
      </c>
      <c r="B59" s="3" t="s">
        <v>149</v>
      </c>
      <c r="C59" t="s">
        <v>150</v>
      </c>
      <c r="D59" s="6">
        <f>VLOOKUP($B59, CodeMinutesTable[[Code]:[Minutes]], 3, FALSE) * VLOOKUP(D$1, ProviderRatesTable[], 3, FALSE)</f>
        <v>1626.6666666666667</v>
      </c>
      <c r="E59" s="6">
        <f>VLOOKUP($B59, CodeMinutesTable[[Code]:[Minutes]], 3, FALSE) * VLOOKUP(E$1, ProviderRatesTable[], 3, FALSE)</f>
        <v>1525</v>
      </c>
      <c r="F59" s="6">
        <f>VLOOKUP($B59, CodeMinutesTable[[Code]:[Minutes]], 3, FALSE) * VLOOKUP(F$1, ProviderRatesTable[], 3, FALSE)</f>
        <v>1423.3333333333333</v>
      </c>
      <c r="G59" s="6">
        <f>VLOOKUP($B59, CodeMinutesTable[[Code]:[Minutes]], 3, FALSE) * VLOOKUP(G$1, ProviderRatesTable[], 3, FALSE)</f>
        <v>1118.3333333333333</v>
      </c>
      <c r="H59" s="6">
        <f>VLOOKUP($B59, CodeMinutesTable[[Code]:[Minutes]], 3, FALSE) * VLOOKUP(H$1, ProviderRatesTable[], 3, FALSE)</f>
        <v>1728.3333333333333</v>
      </c>
      <c r="I59" s="6">
        <f>VLOOKUP($B59, CodeMinutesTable[[Code]:[Minutes]], 3, FALSE) * VLOOKUP(I$1, ProviderRatesTable[], 3, FALSE)</f>
        <v>915</v>
      </c>
      <c r="J59" s="6">
        <f>VLOOKUP($B59, CodeMinutesTable[[Code]:[Minutes]], 3, FALSE) * VLOOKUP(J$1, ProviderRatesTable[], 3, FALSE)</f>
        <v>813.33333333333337</v>
      </c>
      <c r="K59" s="6">
        <f>VLOOKUP($B59, CodeMinutesTable[[Code]:[Minutes]], 3, FALSE) * VLOOKUP(K$1, ProviderRatesTable[], 3, FALSE)</f>
        <v>508.33333333333337</v>
      </c>
      <c r="L59" s="6">
        <f>VLOOKUP($B59, CodeMinutesTable[[Code]:[Minutes]], 3, FALSE) * VLOOKUP(L$1, ProviderRatesTable[], 3, FALSE)</f>
        <v>406.66666666666669</v>
      </c>
    </row>
    <row r="60" spans="1:12" x14ac:dyDescent="0.25">
      <c r="A60" s="6" t="str">
        <f>INDEX(CodeMinutesTable[Frequently Used],MATCH(CodeRatesTable[[#This Row],[Billing Code]],CodeMinutesTable[Code],0))</f>
        <v>Yes</v>
      </c>
      <c r="B60" s="3" t="s">
        <v>151</v>
      </c>
      <c r="C60" t="s">
        <v>152</v>
      </c>
      <c r="D60" s="6">
        <f>VLOOKUP($B60, CodeMinutesTable[[Code]:[Minutes]], 3, FALSE) * VLOOKUP(D$1, ProviderRatesTable[], 3, FALSE)</f>
        <v>800</v>
      </c>
      <c r="E60" s="6">
        <f>VLOOKUP($B60, CodeMinutesTable[[Code]:[Minutes]], 3, FALSE) * VLOOKUP(E$1, ProviderRatesTable[], 3, FALSE)</f>
        <v>750</v>
      </c>
      <c r="F60" s="6">
        <f>VLOOKUP($B60, CodeMinutesTable[[Code]:[Minutes]], 3, FALSE) * VLOOKUP(F$1, ProviderRatesTable[], 3, FALSE)</f>
        <v>700</v>
      </c>
      <c r="G60" s="6">
        <f>VLOOKUP($B60, CodeMinutesTable[[Code]:[Minutes]], 3, FALSE) * VLOOKUP(G$1, ProviderRatesTable[], 3, FALSE)</f>
        <v>550</v>
      </c>
      <c r="H60" s="6">
        <f>VLOOKUP($B60, CodeMinutesTable[[Code]:[Minutes]], 3, FALSE) * VLOOKUP(H$1, ProviderRatesTable[], 3, FALSE)</f>
        <v>850</v>
      </c>
      <c r="I60" s="6">
        <f>VLOOKUP($B60, CodeMinutesTable[[Code]:[Minutes]], 3, FALSE) * VLOOKUP(I$1, ProviderRatesTable[], 3, FALSE)</f>
        <v>450</v>
      </c>
      <c r="J60" s="6">
        <f>VLOOKUP($B60, CodeMinutesTable[[Code]:[Minutes]], 3, FALSE) * VLOOKUP(J$1, ProviderRatesTable[], 3, FALSE)</f>
        <v>400</v>
      </c>
      <c r="K60" s="6">
        <f>VLOOKUP($B60, CodeMinutesTable[[Code]:[Minutes]], 3, FALSE) * VLOOKUP(K$1, ProviderRatesTable[], 3, FALSE)</f>
        <v>250.00000000000003</v>
      </c>
      <c r="L60" s="6">
        <f>VLOOKUP($B60, CodeMinutesTable[[Code]:[Minutes]], 3, FALSE) * VLOOKUP(L$1, ProviderRatesTable[], 3, FALSE)</f>
        <v>200</v>
      </c>
    </row>
    <row r="61" spans="1:12" x14ac:dyDescent="0.25">
      <c r="A61" s="6" t="str">
        <f>INDEX(CodeMinutesTable[Frequently Used],MATCH(CodeRatesTable[[#This Row],[Billing Code]],CodeMinutesTable[Code],0))</f>
        <v>Yes</v>
      </c>
      <c r="B61" s="3" t="s">
        <v>153</v>
      </c>
      <c r="C61" t="s">
        <v>154</v>
      </c>
      <c r="D61" s="6">
        <f>VLOOKUP($B61, CodeMinutesTable[[Code]:[Minutes]], 3, FALSE) * VLOOKUP(D$1, ProviderRatesTable[], 3, FALSE)</f>
        <v>800</v>
      </c>
      <c r="E61" s="6">
        <f>VLOOKUP($B61, CodeMinutesTable[[Code]:[Minutes]], 3, FALSE) * VLOOKUP(E$1, ProviderRatesTable[], 3, FALSE)</f>
        <v>750</v>
      </c>
      <c r="F61" s="6">
        <f>VLOOKUP($B61, CodeMinutesTable[[Code]:[Minutes]], 3, FALSE) * VLOOKUP(F$1, ProviderRatesTable[], 3, FALSE)</f>
        <v>700</v>
      </c>
      <c r="G61" s="6">
        <f>VLOOKUP($B61, CodeMinutesTable[[Code]:[Minutes]], 3, FALSE) * VLOOKUP(G$1, ProviderRatesTable[], 3, FALSE)</f>
        <v>550</v>
      </c>
      <c r="H61" s="6">
        <f>VLOOKUP($B61, CodeMinutesTable[[Code]:[Minutes]], 3, FALSE) * VLOOKUP(H$1, ProviderRatesTable[], 3, FALSE)</f>
        <v>850</v>
      </c>
      <c r="I61" s="6">
        <f>VLOOKUP($B61, CodeMinutesTable[[Code]:[Minutes]], 3, FALSE) * VLOOKUP(I$1, ProviderRatesTable[], 3, FALSE)</f>
        <v>450</v>
      </c>
      <c r="J61" s="6">
        <f>VLOOKUP($B61, CodeMinutesTable[[Code]:[Minutes]], 3, FALSE) * VLOOKUP(J$1, ProviderRatesTable[], 3, FALSE)</f>
        <v>400</v>
      </c>
      <c r="K61" s="6">
        <f>VLOOKUP($B61, CodeMinutesTable[[Code]:[Minutes]], 3, FALSE) * VLOOKUP(K$1, ProviderRatesTable[], 3, FALSE)</f>
        <v>250.00000000000003</v>
      </c>
      <c r="L61" s="6">
        <f>VLOOKUP($B61, CodeMinutesTable[[Code]:[Minutes]], 3, FALSE) * VLOOKUP(L$1, ProviderRatesTable[], 3, FALSE)</f>
        <v>200</v>
      </c>
    </row>
    <row r="62" spans="1:12" x14ac:dyDescent="0.25">
      <c r="A62" s="6" t="str">
        <f>INDEX(CodeMinutesTable[Frequently Used],MATCH(CodeRatesTable[[#This Row],[Billing Code]],CodeMinutesTable[Code],0))</f>
        <v>Yes</v>
      </c>
      <c r="B62" s="3" t="s">
        <v>155</v>
      </c>
      <c r="C62" t="s">
        <v>156</v>
      </c>
      <c r="D62" s="6">
        <f>VLOOKUP($B62, CodeMinutesTable[[Code]:[Minutes]], 3, FALSE) * VLOOKUP(D$1, ProviderRatesTable[], 3, FALSE)</f>
        <v>613.33333333333337</v>
      </c>
      <c r="E62" s="6">
        <f>VLOOKUP($B62, CodeMinutesTable[[Code]:[Minutes]], 3, FALSE) * VLOOKUP(E$1, ProviderRatesTable[], 3, FALSE)</f>
        <v>575</v>
      </c>
      <c r="F62" s="6">
        <f>VLOOKUP($B62, CodeMinutesTable[[Code]:[Minutes]], 3, FALSE) * VLOOKUP(F$1, ProviderRatesTable[], 3, FALSE)</f>
        <v>536.66666666666663</v>
      </c>
      <c r="G62" s="6">
        <f>VLOOKUP($B62, CodeMinutesTable[[Code]:[Minutes]], 3, FALSE) * VLOOKUP(G$1, ProviderRatesTable[], 3, FALSE)</f>
        <v>421.66666666666663</v>
      </c>
      <c r="H62" s="6">
        <f>VLOOKUP($B62, CodeMinutesTable[[Code]:[Minutes]], 3, FALSE) * VLOOKUP(H$1, ProviderRatesTable[], 3, FALSE)</f>
        <v>651.66666666666663</v>
      </c>
      <c r="I62" s="6">
        <f>VLOOKUP($B62, CodeMinutesTable[[Code]:[Minutes]], 3, FALSE) * VLOOKUP(I$1, ProviderRatesTable[], 3, FALSE)</f>
        <v>345</v>
      </c>
      <c r="J62" s="6">
        <f>VLOOKUP($B62, CodeMinutesTable[[Code]:[Minutes]], 3, FALSE) * VLOOKUP(J$1, ProviderRatesTable[], 3, FALSE)</f>
        <v>306.66666666666669</v>
      </c>
      <c r="K62" s="6">
        <f>VLOOKUP($B62, CodeMinutesTable[[Code]:[Minutes]], 3, FALSE) * VLOOKUP(K$1, ProviderRatesTable[], 3, FALSE)</f>
        <v>191.66666666666669</v>
      </c>
      <c r="L62" s="6">
        <f>VLOOKUP($B62, CodeMinutesTable[[Code]:[Minutes]], 3, FALSE) * VLOOKUP(L$1, ProviderRatesTable[], 3, FALSE)</f>
        <v>153.33333333333334</v>
      </c>
    </row>
    <row r="63" spans="1:12" x14ac:dyDescent="0.25">
      <c r="A63" s="6" t="str">
        <f>INDEX(CodeMinutesTable[Frequently Used],MATCH(CodeRatesTable[[#This Row],[Billing Code]],CodeMinutesTable[Code],0))</f>
        <v>Yes</v>
      </c>
      <c r="B63" s="3" t="s">
        <v>157</v>
      </c>
      <c r="C63" t="s">
        <v>158</v>
      </c>
      <c r="D63" s="6">
        <f>VLOOKUP($B63, CodeMinutesTable[[Code]:[Minutes]], 3, FALSE) * VLOOKUP(D$1, ProviderRatesTable[], 3, FALSE)</f>
        <v>800</v>
      </c>
      <c r="E63" s="6">
        <f>VLOOKUP($B63, CodeMinutesTable[[Code]:[Minutes]], 3, FALSE) * VLOOKUP(E$1, ProviderRatesTable[], 3, FALSE)</f>
        <v>750</v>
      </c>
      <c r="F63" s="6">
        <f>VLOOKUP($B63, CodeMinutesTable[[Code]:[Minutes]], 3, FALSE) * VLOOKUP(F$1, ProviderRatesTable[], 3, FALSE)</f>
        <v>700</v>
      </c>
      <c r="G63" s="6">
        <f>VLOOKUP($B63, CodeMinutesTable[[Code]:[Minutes]], 3, FALSE) * VLOOKUP(G$1, ProviderRatesTable[], 3, FALSE)</f>
        <v>550</v>
      </c>
      <c r="H63" s="6">
        <f>VLOOKUP($B63, CodeMinutesTable[[Code]:[Minutes]], 3, FALSE) * VLOOKUP(H$1, ProviderRatesTable[], 3, FALSE)</f>
        <v>850</v>
      </c>
      <c r="I63" s="6">
        <f>VLOOKUP($B63, CodeMinutesTable[[Code]:[Minutes]], 3, FALSE) * VLOOKUP(I$1, ProviderRatesTable[], 3, FALSE)</f>
        <v>450</v>
      </c>
      <c r="J63" s="6">
        <f>VLOOKUP($B63, CodeMinutesTable[[Code]:[Minutes]], 3, FALSE) * VLOOKUP(J$1, ProviderRatesTable[], 3, FALSE)</f>
        <v>400</v>
      </c>
      <c r="K63" s="6">
        <f>VLOOKUP($B63, CodeMinutesTable[[Code]:[Minutes]], 3, FALSE) * VLOOKUP(K$1, ProviderRatesTable[], 3, FALSE)</f>
        <v>250.00000000000003</v>
      </c>
      <c r="L63" s="6">
        <f>VLOOKUP($B63, CodeMinutesTable[[Code]:[Minutes]], 3, FALSE) * VLOOKUP(L$1, ProviderRatesTable[], 3, FALSE)</f>
        <v>200</v>
      </c>
    </row>
    <row r="64" spans="1:12" x14ac:dyDescent="0.25">
      <c r="A64" s="6" t="str">
        <f>INDEX(CodeMinutesTable[Frequently Used],MATCH(CodeRatesTable[[#This Row],[Billing Code]],CodeMinutesTable[Code],0))</f>
        <v>Yes</v>
      </c>
      <c r="B64" s="3" t="s">
        <v>159</v>
      </c>
      <c r="C64" t="s">
        <v>160</v>
      </c>
      <c r="D64" s="6">
        <f>VLOOKUP($B64, CodeMinutesTable[[Code]:[Minutes]], 3, FALSE) * VLOOKUP(D$1, ProviderRatesTable[], 3, FALSE)</f>
        <v>213.33333333333334</v>
      </c>
      <c r="E64" s="6">
        <f>VLOOKUP($B64, CodeMinutesTable[[Code]:[Minutes]], 3, FALSE) * VLOOKUP(E$1, ProviderRatesTable[], 3, FALSE)</f>
        <v>200</v>
      </c>
      <c r="F64" s="6">
        <f>VLOOKUP($B64, CodeMinutesTable[[Code]:[Minutes]], 3, FALSE) * VLOOKUP(F$1, ProviderRatesTable[], 3, FALSE)</f>
        <v>186.66666666666666</v>
      </c>
      <c r="G64" s="6">
        <f>VLOOKUP($B64, CodeMinutesTable[[Code]:[Minutes]], 3, FALSE) * VLOOKUP(G$1, ProviderRatesTable[], 3, FALSE)</f>
        <v>146.66666666666666</v>
      </c>
      <c r="H64" s="6">
        <f>VLOOKUP($B64, CodeMinutesTable[[Code]:[Minutes]], 3, FALSE) * VLOOKUP(H$1, ProviderRatesTable[], 3, FALSE)</f>
        <v>226.66666666666666</v>
      </c>
      <c r="I64" s="6">
        <f>VLOOKUP($B64, CodeMinutesTable[[Code]:[Minutes]], 3, FALSE) * VLOOKUP(I$1, ProviderRatesTable[], 3, FALSE)</f>
        <v>120</v>
      </c>
      <c r="J64" s="6">
        <f>VLOOKUP($B64, CodeMinutesTable[[Code]:[Minutes]], 3, FALSE) * VLOOKUP(J$1, ProviderRatesTable[], 3, FALSE)</f>
        <v>106.66666666666667</v>
      </c>
      <c r="K64" s="6">
        <f>VLOOKUP($B64, CodeMinutesTable[[Code]:[Minutes]], 3, FALSE) * VLOOKUP(K$1, ProviderRatesTable[], 3, FALSE)</f>
        <v>66.666666666666671</v>
      </c>
      <c r="L64" s="6">
        <f>VLOOKUP($B64, CodeMinutesTable[[Code]:[Minutes]], 3, FALSE) * VLOOKUP(L$1, ProviderRatesTable[], 3, FALSE)</f>
        <v>53.333333333333336</v>
      </c>
    </row>
    <row r="65" spans="1:12" x14ac:dyDescent="0.25">
      <c r="A65" s="6" t="str">
        <f>INDEX(CodeMinutesTable[Frequently Used],MATCH(CodeRatesTable[[#This Row],[Billing Code]],CodeMinutesTable[Code],0))</f>
        <v>Yes</v>
      </c>
      <c r="B65" s="3" t="s">
        <v>161</v>
      </c>
      <c r="C65" t="s">
        <v>162</v>
      </c>
      <c r="D65" s="6">
        <f>VLOOKUP($B65, CodeMinutesTable[[Code]:[Minutes]], 3, FALSE) * VLOOKUP(D$1, ProviderRatesTable[], 3, FALSE)</f>
        <v>426.66666666666669</v>
      </c>
      <c r="E65" s="6">
        <f>VLOOKUP($B65, CodeMinutesTable[[Code]:[Minutes]], 3, FALSE) * VLOOKUP(E$1, ProviderRatesTable[], 3, FALSE)</f>
        <v>400</v>
      </c>
      <c r="F65" s="6">
        <f>VLOOKUP($B65, CodeMinutesTable[[Code]:[Minutes]], 3, FALSE) * VLOOKUP(F$1, ProviderRatesTable[], 3, FALSE)</f>
        <v>373.33333333333331</v>
      </c>
      <c r="G65" s="6">
        <f>VLOOKUP($B65, CodeMinutesTable[[Code]:[Minutes]], 3, FALSE) * VLOOKUP(G$1, ProviderRatesTable[], 3, FALSE)</f>
        <v>293.33333333333331</v>
      </c>
      <c r="H65" s="6">
        <f>VLOOKUP($B65, CodeMinutesTable[[Code]:[Minutes]], 3, FALSE) * VLOOKUP(H$1, ProviderRatesTable[], 3, FALSE)</f>
        <v>453.33333333333331</v>
      </c>
      <c r="I65" s="6">
        <f>VLOOKUP($B65, CodeMinutesTable[[Code]:[Minutes]], 3, FALSE) * VLOOKUP(I$1, ProviderRatesTable[], 3, FALSE)</f>
        <v>240</v>
      </c>
      <c r="J65" s="6">
        <f>VLOOKUP($B65, CodeMinutesTable[[Code]:[Minutes]], 3, FALSE) * VLOOKUP(J$1, ProviderRatesTable[], 3, FALSE)</f>
        <v>213.33333333333334</v>
      </c>
      <c r="K65" s="6">
        <f>VLOOKUP($B65, CodeMinutesTable[[Code]:[Minutes]], 3, FALSE) * VLOOKUP(K$1, ProviderRatesTable[], 3, FALSE)</f>
        <v>133.33333333333334</v>
      </c>
      <c r="L65" s="6">
        <f>VLOOKUP($B65, CodeMinutesTable[[Code]:[Minutes]], 3, FALSE) * VLOOKUP(L$1, ProviderRatesTable[], 3, FALSE)</f>
        <v>106.66666666666667</v>
      </c>
    </row>
    <row r="66" spans="1:12" x14ac:dyDescent="0.25">
      <c r="A66" s="6" t="str">
        <f>INDEX(CodeMinutesTable[Frequently Used],MATCH(CodeRatesTable[[#This Row],[Billing Code]],CodeMinutesTable[Code],0))</f>
        <v>Yes</v>
      </c>
      <c r="B66" s="3" t="s">
        <v>163</v>
      </c>
      <c r="C66" t="s">
        <v>164</v>
      </c>
      <c r="D66" s="6">
        <f>VLOOKUP($B66, CodeMinutesTable[[Code]:[Minutes]], 3, FALSE) * VLOOKUP(D$1, ProviderRatesTable[], 3, FALSE)</f>
        <v>693.33333333333337</v>
      </c>
      <c r="E66" s="6">
        <f>VLOOKUP($B66, CodeMinutesTable[[Code]:[Minutes]], 3, FALSE) * VLOOKUP(E$1, ProviderRatesTable[], 3, FALSE)</f>
        <v>650</v>
      </c>
      <c r="F66" s="6">
        <f>VLOOKUP($B66, CodeMinutesTable[[Code]:[Minutes]], 3, FALSE) * VLOOKUP(F$1, ProviderRatesTable[], 3, FALSE)</f>
        <v>606.66666666666663</v>
      </c>
      <c r="G66" s="6">
        <f>VLOOKUP($B66, CodeMinutesTable[[Code]:[Minutes]], 3, FALSE) * VLOOKUP(G$1, ProviderRatesTable[], 3, FALSE)</f>
        <v>476.66666666666663</v>
      </c>
      <c r="H66" s="6">
        <f>VLOOKUP($B66, CodeMinutesTable[[Code]:[Minutes]], 3, FALSE) * VLOOKUP(H$1, ProviderRatesTable[], 3, FALSE)</f>
        <v>736.66666666666663</v>
      </c>
      <c r="I66" s="6">
        <f>VLOOKUP($B66, CodeMinutesTable[[Code]:[Minutes]], 3, FALSE) * VLOOKUP(I$1, ProviderRatesTable[], 3, FALSE)</f>
        <v>390</v>
      </c>
      <c r="J66" s="6">
        <f>VLOOKUP($B66, CodeMinutesTable[[Code]:[Minutes]], 3, FALSE) * VLOOKUP(J$1, ProviderRatesTable[], 3, FALSE)</f>
        <v>346.66666666666669</v>
      </c>
      <c r="K66" s="6">
        <f>VLOOKUP($B66, CodeMinutesTable[[Code]:[Minutes]], 3, FALSE) * VLOOKUP(K$1, ProviderRatesTable[], 3, FALSE)</f>
        <v>216.66666666666669</v>
      </c>
      <c r="L66" s="6">
        <f>VLOOKUP($B66, CodeMinutesTable[[Code]:[Minutes]], 3, FALSE) * VLOOKUP(L$1, ProviderRatesTable[], 3, FALSE)</f>
        <v>173.33333333333334</v>
      </c>
    </row>
    <row r="67" spans="1:12" x14ac:dyDescent="0.25">
      <c r="A67" s="6" t="str">
        <f>INDEX(CodeMinutesTable[Frequently Used],MATCH(CodeRatesTable[[#This Row],[Billing Code]],CodeMinutesTable[Code],0))</f>
        <v>Yes</v>
      </c>
      <c r="B67" s="3" t="s">
        <v>165</v>
      </c>
      <c r="C67" t="s">
        <v>166</v>
      </c>
      <c r="D67" s="6">
        <f>VLOOKUP($B67, CodeMinutesTable[[Code]:[Minutes]], 3, FALSE) * VLOOKUP(D$1, ProviderRatesTable[], 3, FALSE)</f>
        <v>266.66666666666669</v>
      </c>
      <c r="E67" s="6">
        <f>VLOOKUP($B67, CodeMinutesTable[[Code]:[Minutes]], 3, FALSE) * VLOOKUP(E$1, ProviderRatesTable[], 3, FALSE)</f>
        <v>250</v>
      </c>
      <c r="F67" s="6">
        <f>VLOOKUP($B67, CodeMinutesTable[[Code]:[Minutes]], 3, FALSE) * VLOOKUP(F$1, ProviderRatesTable[], 3, FALSE)</f>
        <v>233.33333333333331</v>
      </c>
      <c r="G67" s="6">
        <f>VLOOKUP($B67, CodeMinutesTable[[Code]:[Minutes]], 3, FALSE) * VLOOKUP(G$1, ProviderRatesTable[], 3, FALSE)</f>
        <v>183.33333333333331</v>
      </c>
      <c r="H67" s="6">
        <f>VLOOKUP($B67, CodeMinutesTable[[Code]:[Minutes]], 3, FALSE) * VLOOKUP(H$1, ProviderRatesTable[], 3, FALSE)</f>
        <v>283.33333333333331</v>
      </c>
      <c r="I67" s="6">
        <f>VLOOKUP($B67, CodeMinutesTable[[Code]:[Minutes]], 3, FALSE) * VLOOKUP(I$1, ProviderRatesTable[], 3, FALSE)</f>
        <v>150</v>
      </c>
      <c r="J67" s="6">
        <f>VLOOKUP($B67, CodeMinutesTable[[Code]:[Minutes]], 3, FALSE) * VLOOKUP(J$1, ProviderRatesTable[], 3, FALSE)</f>
        <v>133.33333333333334</v>
      </c>
      <c r="K67" s="6">
        <f>VLOOKUP($B67, CodeMinutesTable[[Code]:[Minutes]], 3, FALSE) * VLOOKUP(K$1, ProviderRatesTable[], 3, FALSE)</f>
        <v>83.333333333333343</v>
      </c>
      <c r="L67" s="6">
        <f>VLOOKUP($B67, CodeMinutesTable[[Code]:[Minutes]], 3, FALSE) * VLOOKUP(L$1, ProviderRatesTable[], 3, FALSE)</f>
        <v>66.666666666666671</v>
      </c>
    </row>
    <row r="68" spans="1:12" hidden="1" x14ac:dyDescent="0.25">
      <c r="A68" s="6" t="str">
        <f>INDEX(CodeMinutesTable[Frequently Used],MATCH(CodeRatesTable[[#This Row],[Billing Code]],CodeMinutesTable[Code],0))</f>
        <v>No</v>
      </c>
      <c r="B68" s="3" t="s">
        <v>167</v>
      </c>
      <c r="C68" t="s">
        <v>168</v>
      </c>
      <c r="D68" s="6">
        <f>VLOOKUP($B68, CodeMinutesTable[[Code]:[Minutes]], 3, FALSE) * VLOOKUP(D$1, ProviderRatesTable[], 3, FALSE)</f>
        <v>400</v>
      </c>
      <c r="E68" s="6" cm="1">
        <f t="array" ref="E68">_xlfn.XLOOKUP($B68,CodeMinutesTable[[Code]:[Code]],CodeMinutesTable[[Minutes]:[Minutes]]) *_xlfn.XLOOKUP(E$1,'Provider Rates'!$A$2:$A$10,'Provider Rates'!$C$2:$C$10)</f>
        <v>375</v>
      </c>
      <c r="F68" s="6" cm="1">
        <f t="array" ref="F68">_xlfn.XLOOKUP($B68,CodeMinutesTable[[Code]:[Code]],CodeMinutesTable[[Minutes]:[Minutes]]) *_xlfn.XLOOKUP(F$1,'Provider Rates'!$A$2:$A$10,'Provider Rates'!$C$2:$C$10)</f>
        <v>350</v>
      </c>
      <c r="G68" s="6" cm="1">
        <f t="array" ref="G68">_xlfn.XLOOKUP($B68,CodeMinutesTable[[Code]:[Code]],CodeMinutesTable[[Minutes]:[Minutes]]) *_xlfn.XLOOKUP(G$1,'Provider Rates'!$A$2:$A$10,'Provider Rates'!$C$2:$C$10)</f>
        <v>275</v>
      </c>
      <c r="H68" s="6" cm="1">
        <f t="array" ref="H68">_xlfn.XLOOKUP($B68,CodeMinutesTable[[Code]:[Code]],CodeMinutesTable[[Minutes]:[Minutes]]) *_xlfn.XLOOKUP(H$1,'Provider Rates'!$A$2:$A$10,'Provider Rates'!$C$2:$C$10)</f>
        <v>425</v>
      </c>
      <c r="I68" s="6" cm="1">
        <f t="array" ref="I68">_xlfn.XLOOKUP($B68,CodeMinutesTable[[Code]:[Code]],CodeMinutesTable[[Minutes]:[Minutes]]) *_xlfn.XLOOKUP(I$1,'Provider Rates'!$A$2:$A$10,'Provider Rates'!$C$2:$C$10)</f>
        <v>225</v>
      </c>
      <c r="J68" s="6" cm="1">
        <f t="array" ref="J68">_xlfn.XLOOKUP($B68,CodeMinutesTable[[Code]:[Code]],CodeMinutesTable[[Minutes]:[Minutes]]) *_xlfn.XLOOKUP(J$1,'Provider Rates'!$A$2:$A$10,'Provider Rates'!$C$2:$C$10)</f>
        <v>200</v>
      </c>
      <c r="K68" s="6" cm="1">
        <f t="array" ref="K68">_xlfn.XLOOKUP($B68,CodeMinutesTable[[Code]:[Code]],CodeMinutesTable[[Minutes]:[Minutes]]) *_xlfn.XLOOKUP(K$1,'Provider Rates'!$A$2:$A$10,'Provider Rates'!$C$2:$C$10)</f>
        <v>125.00000000000001</v>
      </c>
      <c r="L68" s="6" cm="1">
        <f t="array" ref="L68">_xlfn.XLOOKUP($B68,CodeMinutesTable[[Code]:[Code]],CodeMinutesTable[[Minutes]:[Minutes]]) *_xlfn.XLOOKUP(L$1,'Provider Rates'!$A$2:$A$10,'Provider Rates'!$C$2:$C$10)</f>
        <v>100</v>
      </c>
    </row>
    <row r="69" spans="1:12" hidden="1" x14ac:dyDescent="0.25">
      <c r="A69" s="6" t="str">
        <f>INDEX(CodeMinutesTable[Frequently Used],MATCH(CodeRatesTable[[#This Row],[Billing Code]],CodeMinutesTable[Code],0))</f>
        <v>No</v>
      </c>
      <c r="B69" s="3" t="s">
        <v>169</v>
      </c>
      <c r="C69" t="s">
        <v>170</v>
      </c>
      <c r="D69" s="6">
        <f>VLOOKUP($B69, CodeMinutesTable[[Code]:[Minutes]], 3, FALSE) * VLOOKUP(D$1, ProviderRatesTable[], 3, FALSE)</f>
        <v>400</v>
      </c>
      <c r="E69" s="6" cm="1">
        <f t="array" ref="E69">_xlfn.XLOOKUP($B69,CodeMinutesTable[[Code]:[Code]],CodeMinutesTable[[Minutes]:[Minutes]]) *_xlfn.XLOOKUP(E$1,'Provider Rates'!$A$2:$A$10,'Provider Rates'!$C$2:$C$10)</f>
        <v>375</v>
      </c>
      <c r="F69" s="6" cm="1">
        <f t="array" ref="F69">_xlfn.XLOOKUP($B69,CodeMinutesTable[[Code]:[Code]],CodeMinutesTable[[Minutes]:[Minutes]]) *_xlfn.XLOOKUP(F$1,'Provider Rates'!$A$2:$A$10,'Provider Rates'!$C$2:$C$10)</f>
        <v>350</v>
      </c>
      <c r="G69" s="6" cm="1">
        <f t="array" ref="G69">_xlfn.XLOOKUP($B69,CodeMinutesTable[[Code]:[Code]],CodeMinutesTable[[Minutes]:[Minutes]]) *_xlfn.XLOOKUP(G$1,'Provider Rates'!$A$2:$A$10,'Provider Rates'!$C$2:$C$10)</f>
        <v>275</v>
      </c>
      <c r="H69" s="6" cm="1">
        <f t="array" ref="H69">_xlfn.XLOOKUP($B69,CodeMinutesTable[[Code]:[Code]],CodeMinutesTable[[Minutes]:[Minutes]]) *_xlfn.XLOOKUP(H$1,'Provider Rates'!$A$2:$A$10,'Provider Rates'!$C$2:$C$10)</f>
        <v>425</v>
      </c>
      <c r="I69" s="6" cm="1">
        <f t="array" ref="I69">_xlfn.XLOOKUP($B69,CodeMinutesTable[[Code]:[Code]],CodeMinutesTable[[Minutes]:[Minutes]]) *_xlfn.XLOOKUP(I$1,'Provider Rates'!$A$2:$A$10,'Provider Rates'!$C$2:$C$10)</f>
        <v>225</v>
      </c>
      <c r="J69" s="6" cm="1">
        <f t="array" ref="J69">_xlfn.XLOOKUP($B69,CodeMinutesTable[[Code]:[Code]],CodeMinutesTable[[Minutes]:[Minutes]]) *_xlfn.XLOOKUP(J$1,'Provider Rates'!$A$2:$A$10,'Provider Rates'!$C$2:$C$10)</f>
        <v>200</v>
      </c>
      <c r="K69" s="6" cm="1">
        <f t="array" ref="K69">_xlfn.XLOOKUP($B69,CodeMinutesTable[[Code]:[Code]],CodeMinutesTable[[Minutes]:[Minutes]]) *_xlfn.XLOOKUP(K$1,'Provider Rates'!$A$2:$A$10,'Provider Rates'!$C$2:$C$10)</f>
        <v>125.00000000000001</v>
      </c>
      <c r="L69" s="6" cm="1">
        <f t="array" ref="L69">_xlfn.XLOOKUP($B69,CodeMinutesTable[[Code]:[Code]],CodeMinutesTable[[Minutes]:[Minutes]]) *_xlfn.XLOOKUP(L$1,'Provider Rates'!$A$2:$A$10,'Provider Rates'!$C$2:$C$10)</f>
        <v>100</v>
      </c>
    </row>
    <row r="70" spans="1:12" x14ac:dyDescent="0.25">
      <c r="A70" s="6" t="str">
        <f>INDEX(CodeMinutesTable[Frequently Used],MATCH(CodeRatesTable[[#This Row],[Billing Code]],CodeMinutesTable[Code],0))</f>
        <v>Yes</v>
      </c>
      <c r="B70" s="3" t="s">
        <v>171</v>
      </c>
      <c r="C70" t="s">
        <v>172</v>
      </c>
      <c r="D70" s="6">
        <f>VLOOKUP($B70, CodeMinutesTable[[Code]:[Minutes]], 3, FALSE) * VLOOKUP(D$1, ProviderRatesTable[], 3, FALSE)</f>
        <v>613.33333333333337</v>
      </c>
      <c r="E70" s="6">
        <f>VLOOKUP($B70, CodeMinutesTable[[Code]:[Minutes]], 3, FALSE) * VLOOKUP(E$1, ProviderRatesTable[], 3, FALSE)</f>
        <v>575</v>
      </c>
      <c r="F70" s="6">
        <f>VLOOKUP($B70, CodeMinutesTable[[Code]:[Minutes]], 3, FALSE) * VLOOKUP(F$1, ProviderRatesTable[], 3, FALSE)</f>
        <v>536.66666666666663</v>
      </c>
      <c r="G70" s="6">
        <f>VLOOKUP($B70, CodeMinutesTable[[Code]:[Minutes]], 3, FALSE) * VLOOKUP(G$1, ProviderRatesTable[], 3, FALSE)</f>
        <v>421.66666666666663</v>
      </c>
      <c r="H70" s="6">
        <f>VLOOKUP($B70, CodeMinutesTable[[Code]:[Minutes]], 3, FALSE) * VLOOKUP(H$1, ProviderRatesTable[], 3, FALSE)</f>
        <v>651.66666666666663</v>
      </c>
      <c r="I70" s="6">
        <f>VLOOKUP($B70, CodeMinutesTable[[Code]:[Minutes]], 3, FALSE) * VLOOKUP(I$1, ProviderRatesTable[], 3, FALSE)</f>
        <v>345</v>
      </c>
      <c r="J70" s="6">
        <f>VLOOKUP($B70, CodeMinutesTable[[Code]:[Minutes]], 3, FALSE) * VLOOKUP(J$1, ProviderRatesTable[], 3, FALSE)</f>
        <v>306.66666666666669</v>
      </c>
      <c r="K70" s="6">
        <f>VLOOKUP($B70, CodeMinutesTable[[Code]:[Minutes]], 3, FALSE) * VLOOKUP(K$1, ProviderRatesTable[], 3, FALSE)</f>
        <v>191.66666666666669</v>
      </c>
      <c r="L70" s="6">
        <f>VLOOKUP($B70, CodeMinutesTable[[Code]:[Minutes]], 3, FALSE) * VLOOKUP(L$1, ProviderRatesTable[], 3, FALSE)</f>
        <v>153.33333333333334</v>
      </c>
    </row>
    <row r="71" spans="1:12" x14ac:dyDescent="0.25">
      <c r="A71" s="6" t="str">
        <f>INDEX(CodeMinutesTable[Frequently Used],MATCH(CodeRatesTable[[#This Row],[Billing Code]],CodeMinutesTable[Code],0))</f>
        <v>Yes</v>
      </c>
      <c r="B71" s="3" t="s">
        <v>173</v>
      </c>
      <c r="C71" t="s">
        <v>174</v>
      </c>
      <c r="D71" s="6">
        <f>VLOOKUP($B71, CodeMinutesTable[[Code]:[Minutes]], 3, FALSE) * VLOOKUP(D$1, ProviderRatesTable[], 3, FALSE)</f>
        <v>800</v>
      </c>
      <c r="E71" s="6">
        <f>VLOOKUP($B71, CodeMinutesTable[[Code]:[Minutes]], 3, FALSE) * VLOOKUP(E$1, ProviderRatesTable[], 3, FALSE)</f>
        <v>750</v>
      </c>
      <c r="F71" s="6">
        <f>VLOOKUP($B71, CodeMinutesTable[[Code]:[Minutes]], 3, FALSE) * VLOOKUP(F$1, ProviderRatesTable[], 3, FALSE)</f>
        <v>700</v>
      </c>
      <c r="G71" s="6">
        <f>VLOOKUP($B71, CodeMinutesTable[[Code]:[Minutes]], 3, FALSE) * VLOOKUP(G$1, ProviderRatesTable[], 3, FALSE)</f>
        <v>550</v>
      </c>
      <c r="H71" s="6">
        <f>VLOOKUP($B71, CodeMinutesTable[[Code]:[Minutes]], 3, FALSE) * VLOOKUP(H$1, ProviderRatesTable[], 3, FALSE)</f>
        <v>850</v>
      </c>
      <c r="I71" s="6">
        <f>VLOOKUP($B71, CodeMinutesTable[[Code]:[Minutes]], 3, FALSE) * VLOOKUP(I$1, ProviderRatesTable[], 3, FALSE)</f>
        <v>450</v>
      </c>
      <c r="J71" s="6">
        <f>VLOOKUP($B71, CodeMinutesTable[[Code]:[Minutes]], 3, FALSE) * VLOOKUP(J$1, ProviderRatesTable[], 3, FALSE)</f>
        <v>400</v>
      </c>
      <c r="K71" s="6">
        <f>VLOOKUP($B71, CodeMinutesTable[[Code]:[Minutes]], 3, FALSE) * VLOOKUP(K$1, ProviderRatesTable[], 3, FALSE)</f>
        <v>250.00000000000003</v>
      </c>
      <c r="L71" s="6">
        <f>VLOOKUP($B71, CodeMinutesTable[[Code]:[Minutes]], 3, FALSE) * VLOOKUP(L$1, ProviderRatesTable[], 3, FALSE)</f>
        <v>200</v>
      </c>
    </row>
    <row r="72" spans="1:12" x14ac:dyDescent="0.25">
      <c r="A72" s="6" t="str">
        <f>INDEX(CodeMinutesTable[Frequently Used],MATCH(CodeRatesTable[[#This Row],[Billing Code]],CodeMinutesTable[Code],0))</f>
        <v>Yes</v>
      </c>
      <c r="B72" s="3" t="s">
        <v>175</v>
      </c>
      <c r="C72" t="s">
        <v>176</v>
      </c>
      <c r="D72" s="6">
        <f>VLOOKUP($B72, CodeMinutesTable[[Code]:[Minutes]], 3, FALSE) * VLOOKUP(D$1, ProviderRatesTable[], 3, FALSE)</f>
        <v>266.66666666666669</v>
      </c>
      <c r="E72" s="6">
        <f>VLOOKUP($B72, CodeMinutesTable[[Code]:[Minutes]], 3, FALSE) * VLOOKUP(E$1, ProviderRatesTable[], 3, FALSE)</f>
        <v>250</v>
      </c>
      <c r="F72" s="6">
        <f>VLOOKUP($B72, CodeMinutesTable[[Code]:[Minutes]], 3, FALSE) * VLOOKUP(F$1, ProviderRatesTable[], 3, FALSE)</f>
        <v>233.33333333333331</v>
      </c>
      <c r="G72" s="6">
        <f>VLOOKUP($B72, CodeMinutesTable[[Code]:[Minutes]], 3, FALSE) * VLOOKUP(G$1, ProviderRatesTable[], 3, FALSE)</f>
        <v>183.33333333333331</v>
      </c>
      <c r="H72" s="6">
        <f>VLOOKUP($B72, CodeMinutesTable[[Code]:[Minutes]], 3, FALSE) * VLOOKUP(H$1, ProviderRatesTable[], 3, FALSE)</f>
        <v>283.33333333333331</v>
      </c>
      <c r="I72" s="6">
        <f>VLOOKUP($B72, CodeMinutesTable[[Code]:[Minutes]], 3, FALSE) * VLOOKUP(I$1, ProviderRatesTable[], 3, FALSE)</f>
        <v>150</v>
      </c>
      <c r="J72" s="6">
        <f>VLOOKUP($B72, CodeMinutesTable[[Code]:[Minutes]], 3, FALSE) * VLOOKUP(J$1, ProviderRatesTable[], 3, FALSE)</f>
        <v>133.33333333333334</v>
      </c>
      <c r="K72" s="6">
        <f>VLOOKUP($B72, CodeMinutesTable[[Code]:[Minutes]], 3, FALSE) * VLOOKUP(K$1, ProviderRatesTable[], 3, FALSE)</f>
        <v>83.333333333333343</v>
      </c>
      <c r="L72" s="6">
        <f>VLOOKUP($B72, CodeMinutesTable[[Code]:[Minutes]], 3, FALSE) * VLOOKUP(L$1, ProviderRatesTable[], 3, FALSE)</f>
        <v>66.666666666666671</v>
      </c>
    </row>
    <row r="73" spans="1:12" hidden="1" x14ac:dyDescent="0.25">
      <c r="A73" s="6" t="str">
        <f>INDEX(CodeMinutesTable[Frequently Used],MATCH(CodeRatesTable[[#This Row],[Billing Code]],CodeMinutesTable[Code],0))</f>
        <v>No</v>
      </c>
      <c r="B73" s="3" t="s">
        <v>177</v>
      </c>
      <c r="C73" t="s">
        <v>178</v>
      </c>
      <c r="D73" s="6">
        <f>VLOOKUP($B73, CodeMinutesTable[[Code]:[Minutes]], 3, FALSE) * VLOOKUP(D$1, ProviderRatesTable[], 3, FALSE)</f>
        <v>400</v>
      </c>
      <c r="E73" s="6" cm="1">
        <f t="array" ref="E73">_xlfn.XLOOKUP($B73,CodeMinutesTable[[Code]:[Code]],CodeMinutesTable[[Minutes]:[Minutes]]) *_xlfn.XLOOKUP(E$1,'Provider Rates'!$A$2:$A$10,'Provider Rates'!$C$2:$C$10)</f>
        <v>375</v>
      </c>
      <c r="F73" s="6" cm="1">
        <f t="array" ref="F73">_xlfn.XLOOKUP($B73,CodeMinutesTable[[Code]:[Code]],CodeMinutesTable[[Minutes]:[Minutes]]) *_xlfn.XLOOKUP(F$1,'Provider Rates'!$A$2:$A$10,'Provider Rates'!$C$2:$C$10)</f>
        <v>350</v>
      </c>
      <c r="G73" s="6" cm="1">
        <f t="array" ref="G73">_xlfn.XLOOKUP($B73,CodeMinutesTable[[Code]:[Code]],CodeMinutesTable[[Minutes]:[Minutes]]) *_xlfn.XLOOKUP(G$1,'Provider Rates'!$A$2:$A$10,'Provider Rates'!$C$2:$C$10)</f>
        <v>275</v>
      </c>
      <c r="H73" s="6" cm="1">
        <f t="array" ref="H73">_xlfn.XLOOKUP($B73,CodeMinutesTable[[Code]:[Code]],CodeMinutesTable[[Minutes]:[Minutes]]) *_xlfn.XLOOKUP(H$1,'Provider Rates'!$A$2:$A$10,'Provider Rates'!$C$2:$C$10)</f>
        <v>425</v>
      </c>
      <c r="I73" s="6" cm="1">
        <f t="array" ref="I73">_xlfn.XLOOKUP($B73,CodeMinutesTable[[Code]:[Code]],CodeMinutesTable[[Minutes]:[Minutes]]) *_xlfn.XLOOKUP(I$1,'Provider Rates'!$A$2:$A$10,'Provider Rates'!$C$2:$C$10)</f>
        <v>225</v>
      </c>
      <c r="J73" s="6" cm="1">
        <f t="array" ref="J73">_xlfn.XLOOKUP($B73,CodeMinutesTable[[Code]:[Code]],CodeMinutesTable[[Minutes]:[Minutes]]) *_xlfn.XLOOKUP(J$1,'Provider Rates'!$A$2:$A$10,'Provider Rates'!$C$2:$C$10)</f>
        <v>200</v>
      </c>
      <c r="K73" s="6" cm="1">
        <f t="array" ref="K73">_xlfn.XLOOKUP($B73,CodeMinutesTable[[Code]:[Code]],CodeMinutesTable[[Minutes]:[Minutes]]) *_xlfn.XLOOKUP(K$1,'Provider Rates'!$A$2:$A$10,'Provider Rates'!$C$2:$C$10)</f>
        <v>125.00000000000001</v>
      </c>
      <c r="L73" s="6" cm="1">
        <f t="array" ref="L73">_xlfn.XLOOKUP($B73,CodeMinutesTable[[Code]:[Code]],CodeMinutesTable[[Minutes]:[Minutes]]) *_xlfn.XLOOKUP(L$1,'Provider Rates'!$A$2:$A$10,'Provider Rates'!$C$2:$C$10)</f>
        <v>100</v>
      </c>
    </row>
    <row r="74" spans="1:12" x14ac:dyDescent="0.25">
      <c r="A74" s="6" t="str">
        <f>INDEX(CodeMinutesTable[Frequently Used],MATCH(CodeRatesTable[[#This Row],[Billing Code]],CodeMinutesTable[Code],0))</f>
        <v>Yes</v>
      </c>
      <c r="B74" s="3" t="s">
        <v>179</v>
      </c>
      <c r="C74" t="s">
        <v>180</v>
      </c>
      <c r="D74" s="6">
        <f>VLOOKUP($B74, CodeMinutesTable[[Code]:[Minutes]], 3, FALSE) * VLOOKUP(D$1, ProviderRatesTable[], 3, FALSE)</f>
        <v>400</v>
      </c>
      <c r="E74" s="6">
        <f>VLOOKUP($B74, CodeMinutesTable[[Code]:[Minutes]], 3, FALSE) * VLOOKUP(E$1, ProviderRatesTable[], 3, FALSE)</f>
        <v>375</v>
      </c>
      <c r="F74" s="6">
        <f>VLOOKUP($B74, CodeMinutesTable[[Code]:[Minutes]], 3, FALSE) * VLOOKUP(F$1, ProviderRatesTable[], 3, FALSE)</f>
        <v>350</v>
      </c>
      <c r="G74" s="6">
        <f>VLOOKUP($B74, CodeMinutesTable[[Code]:[Minutes]], 3, FALSE) * VLOOKUP(G$1, ProviderRatesTable[], 3, FALSE)</f>
        <v>275</v>
      </c>
      <c r="H74" s="6">
        <f>VLOOKUP($B74, CodeMinutesTable[[Code]:[Minutes]], 3, FALSE) * VLOOKUP(H$1, ProviderRatesTable[], 3, FALSE)</f>
        <v>425</v>
      </c>
      <c r="I74" s="6">
        <f>VLOOKUP($B74, CodeMinutesTable[[Code]:[Minutes]], 3, FALSE) * VLOOKUP(I$1, ProviderRatesTable[], 3, FALSE)</f>
        <v>225</v>
      </c>
      <c r="J74" s="6">
        <f>VLOOKUP($B74, CodeMinutesTable[[Code]:[Minutes]], 3, FALSE) * VLOOKUP(J$1, ProviderRatesTable[], 3, FALSE)</f>
        <v>200</v>
      </c>
      <c r="K74" s="6">
        <f>VLOOKUP($B74, CodeMinutesTable[[Code]:[Minutes]], 3, FALSE) * VLOOKUP(K$1, ProviderRatesTable[], 3, FALSE)</f>
        <v>125.00000000000001</v>
      </c>
      <c r="L74" s="6">
        <f>VLOOKUP($B74, CodeMinutesTable[[Code]:[Minutes]], 3, FALSE) * VLOOKUP(L$1, ProviderRatesTable[], 3, FALSE)</f>
        <v>100</v>
      </c>
    </row>
    <row r="75" spans="1:12" x14ac:dyDescent="0.25">
      <c r="A75" s="6" t="str">
        <f>INDEX(CodeMinutesTable[Frequently Used],MATCH(CodeRatesTable[[#This Row],[Billing Code]],CodeMinutesTable[Code],0))</f>
        <v>Yes</v>
      </c>
      <c r="B75" s="3" t="s">
        <v>181</v>
      </c>
      <c r="C75" t="s">
        <v>182</v>
      </c>
      <c r="D75" s="6">
        <f>VLOOKUP($B75, CodeMinutesTable[[Code]:[Minutes]], 3, FALSE) * VLOOKUP(D$1, ProviderRatesTable[], 3, FALSE)</f>
        <v>400</v>
      </c>
      <c r="E75" s="6">
        <f>VLOOKUP($B75, CodeMinutesTable[[Code]:[Minutes]], 3, FALSE) * VLOOKUP(E$1, ProviderRatesTable[], 3, FALSE)</f>
        <v>375</v>
      </c>
      <c r="F75" s="6">
        <f>VLOOKUP($B75, CodeMinutesTable[[Code]:[Minutes]], 3, FALSE) * VLOOKUP(F$1, ProviderRatesTable[], 3, FALSE)</f>
        <v>350</v>
      </c>
      <c r="G75" s="6">
        <f>VLOOKUP($B75, CodeMinutesTable[[Code]:[Minutes]], 3, FALSE) * VLOOKUP(G$1, ProviderRatesTable[], 3, FALSE)</f>
        <v>275</v>
      </c>
      <c r="H75" s="6">
        <f>VLOOKUP($B75, CodeMinutesTable[[Code]:[Minutes]], 3, FALSE) * VLOOKUP(H$1, ProviderRatesTable[], 3, FALSE)</f>
        <v>425</v>
      </c>
      <c r="I75" s="6">
        <f>VLOOKUP($B75, CodeMinutesTable[[Code]:[Minutes]], 3, FALSE) * VLOOKUP(I$1, ProviderRatesTable[], 3, FALSE)</f>
        <v>225</v>
      </c>
      <c r="J75" s="6">
        <f>VLOOKUP($B75, CodeMinutesTable[[Code]:[Minutes]], 3, FALSE) * VLOOKUP(J$1, ProviderRatesTable[], 3, FALSE)</f>
        <v>200</v>
      </c>
      <c r="K75" s="6">
        <f>VLOOKUP($B75, CodeMinutesTable[[Code]:[Minutes]], 3, FALSE) * VLOOKUP(K$1, ProviderRatesTable[], 3, FALSE)</f>
        <v>125.00000000000001</v>
      </c>
      <c r="L75" s="6">
        <f>VLOOKUP($B75, CodeMinutesTable[[Code]:[Minutes]], 3, FALSE) * VLOOKUP(L$1, ProviderRatesTable[], 3, FALSE)</f>
        <v>100</v>
      </c>
    </row>
    <row r="76" spans="1:12" hidden="1" x14ac:dyDescent="0.25">
      <c r="A76" s="6" t="str">
        <f>INDEX(CodeMinutesTable[Frequently Used],MATCH(CodeRatesTable[[#This Row],[Billing Code]],CodeMinutesTable[Code],0))</f>
        <v>No</v>
      </c>
      <c r="B76" s="3" t="s">
        <v>183</v>
      </c>
      <c r="C76" t="s">
        <v>184</v>
      </c>
      <c r="D76" s="6">
        <f>VLOOKUP($B76, CodeMinutesTable[[Code]:[Minutes]], 3, FALSE) * VLOOKUP(D$1, ProviderRatesTable[], 3, FALSE)</f>
        <v>400</v>
      </c>
      <c r="E76" s="6" cm="1">
        <f t="array" ref="E76">_xlfn.XLOOKUP($B76,CodeMinutesTable[[Code]:[Code]],CodeMinutesTable[[Minutes]:[Minutes]]) *_xlfn.XLOOKUP(E$1,'Provider Rates'!$A$2:$A$10,'Provider Rates'!$C$2:$C$10)</f>
        <v>375</v>
      </c>
      <c r="F76" s="6" cm="1">
        <f t="array" ref="F76">_xlfn.XLOOKUP($B76,CodeMinutesTable[[Code]:[Code]],CodeMinutesTable[[Minutes]:[Minutes]]) *_xlfn.XLOOKUP(F$1,'Provider Rates'!$A$2:$A$10,'Provider Rates'!$C$2:$C$10)</f>
        <v>350</v>
      </c>
      <c r="G76" s="6" cm="1">
        <f t="array" ref="G76">_xlfn.XLOOKUP($B76,CodeMinutesTable[[Code]:[Code]],CodeMinutesTable[[Minutes]:[Minutes]]) *_xlfn.XLOOKUP(G$1,'Provider Rates'!$A$2:$A$10,'Provider Rates'!$C$2:$C$10)</f>
        <v>275</v>
      </c>
      <c r="H76" s="6" cm="1">
        <f t="array" ref="H76">_xlfn.XLOOKUP($B76,CodeMinutesTable[[Code]:[Code]],CodeMinutesTable[[Minutes]:[Minutes]]) *_xlfn.XLOOKUP(H$1,'Provider Rates'!$A$2:$A$10,'Provider Rates'!$C$2:$C$10)</f>
        <v>425</v>
      </c>
      <c r="I76" s="6" cm="1">
        <f t="array" ref="I76">_xlfn.XLOOKUP($B76,CodeMinutesTable[[Code]:[Code]],CodeMinutesTable[[Minutes]:[Minutes]]) *_xlfn.XLOOKUP(I$1,'Provider Rates'!$A$2:$A$10,'Provider Rates'!$C$2:$C$10)</f>
        <v>225</v>
      </c>
      <c r="J76" s="6" cm="1">
        <f t="array" ref="J76">_xlfn.XLOOKUP($B76,CodeMinutesTable[[Code]:[Code]],CodeMinutesTable[[Minutes]:[Minutes]]) *_xlfn.XLOOKUP(J$1,'Provider Rates'!$A$2:$A$10,'Provider Rates'!$C$2:$C$10)</f>
        <v>200</v>
      </c>
      <c r="K76" s="6" cm="1">
        <f t="array" ref="K76">_xlfn.XLOOKUP($B76,CodeMinutesTable[[Code]:[Code]],CodeMinutesTable[[Minutes]:[Minutes]]) *_xlfn.XLOOKUP(K$1,'Provider Rates'!$A$2:$A$10,'Provider Rates'!$C$2:$C$10)</f>
        <v>125.00000000000001</v>
      </c>
      <c r="L76" s="6" cm="1">
        <f t="array" ref="L76">_xlfn.XLOOKUP($B76,CodeMinutesTable[[Code]:[Code]],CodeMinutesTable[[Minutes]:[Minutes]]) *_xlfn.XLOOKUP(L$1,'Provider Rates'!$A$2:$A$10,'Provider Rates'!$C$2:$C$10)</f>
        <v>100</v>
      </c>
    </row>
    <row r="77" spans="1:12" x14ac:dyDescent="0.25">
      <c r="A77" s="6" t="str">
        <f>INDEX(CodeMinutesTable[Frequently Used],MATCH(CodeRatesTable[[#This Row],[Billing Code]],CodeMinutesTable[Code],0))</f>
        <v>Yes</v>
      </c>
      <c r="B77" s="3" t="s">
        <v>185</v>
      </c>
      <c r="C77" t="s">
        <v>186</v>
      </c>
      <c r="D77" s="6">
        <f>VLOOKUP($B77, CodeMinutesTable[[Code]:[Minutes]], 3, FALSE) * VLOOKUP(D$1, ProviderRatesTable[], 3, FALSE)</f>
        <v>400</v>
      </c>
      <c r="E77" s="6">
        <f>VLOOKUP($B77, CodeMinutesTable[[Code]:[Minutes]], 3, FALSE) * VLOOKUP(E$1, ProviderRatesTable[], 3, FALSE)</f>
        <v>375</v>
      </c>
      <c r="F77" s="6">
        <f>VLOOKUP($B77, CodeMinutesTable[[Code]:[Minutes]], 3, FALSE) * VLOOKUP(F$1, ProviderRatesTable[], 3, FALSE)</f>
        <v>350</v>
      </c>
      <c r="G77" s="6">
        <f>VLOOKUP($B77, CodeMinutesTable[[Code]:[Minutes]], 3, FALSE) * VLOOKUP(G$1, ProviderRatesTable[], 3, FALSE)</f>
        <v>275</v>
      </c>
      <c r="H77" s="6">
        <f>VLOOKUP($B77, CodeMinutesTable[[Code]:[Minutes]], 3, FALSE) * VLOOKUP(H$1, ProviderRatesTable[], 3, FALSE)</f>
        <v>425</v>
      </c>
      <c r="I77" s="6">
        <f>VLOOKUP($B77, CodeMinutesTable[[Code]:[Minutes]], 3, FALSE) * VLOOKUP(I$1, ProviderRatesTable[], 3, FALSE)</f>
        <v>225</v>
      </c>
      <c r="J77" s="6">
        <f>VLOOKUP($B77, CodeMinutesTable[[Code]:[Minutes]], 3, FALSE) * VLOOKUP(J$1, ProviderRatesTable[], 3, FALSE)</f>
        <v>200</v>
      </c>
      <c r="K77" s="6">
        <f>VLOOKUP($B77, CodeMinutesTable[[Code]:[Minutes]], 3, FALSE) * VLOOKUP(K$1, ProviderRatesTable[], 3, FALSE)</f>
        <v>125.00000000000001</v>
      </c>
      <c r="L77" s="6">
        <f>VLOOKUP($B77, CodeMinutesTable[[Code]:[Minutes]], 3, FALSE) * VLOOKUP(L$1, ProviderRatesTable[], 3, FALSE)</f>
        <v>100</v>
      </c>
    </row>
    <row r="78" spans="1:12" x14ac:dyDescent="0.25">
      <c r="A78" s="6" t="str">
        <f>INDEX(CodeMinutesTable[Frequently Used],MATCH(CodeRatesTable[[#This Row],[Billing Code]],CodeMinutesTable[Code],0))</f>
        <v>Yes</v>
      </c>
      <c r="B78" s="3" t="s">
        <v>187</v>
      </c>
      <c r="C78" t="s">
        <v>188</v>
      </c>
      <c r="D78" s="6">
        <f>VLOOKUP($B78, CodeMinutesTable[[Code]:[Minutes]], 3, FALSE) * VLOOKUP(D$1, ProviderRatesTable[], 3, FALSE)</f>
        <v>400</v>
      </c>
      <c r="E78" s="6">
        <f>VLOOKUP($B78, CodeMinutesTable[[Code]:[Minutes]], 3, FALSE) * VLOOKUP(E$1, ProviderRatesTable[], 3, FALSE)</f>
        <v>375</v>
      </c>
      <c r="F78" s="6">
        <f>VLOOKUP($B78, CodeMinutesTable[[Code]:[Minutes]], 3, FALSE) * VLOOKUP(F$1, ProviderRatesTable[], 3, FALSE)</f>
        <v>350</v>
      </c>
      <c r="G78" s="6">
        <f>VLOOKUP($B78, CodeMinutesTable[[Code]:[Minutes]], 3, FALSE) * VLOOKUP(G$1, ProviderRatesTable[], 3, FALSE)</f>
        <v>275</v>
      </c>
      <c r="H78" s="6">
        <f>VLOOKUP($B78, CodeMinutesTable[[Code]:[Minutes]], 3, FALSE) * VLOOKUP(H$1, ProviderRatesTable[], 3, FALSE)</f>
        <v>425</v>
      </c>
      <c r="I78" s="6">
        <f>VLOOKUP($B78, CodeMinutesTable[[Code]:[Minutes]], 3, FALSE) * VLOOKUP(I$1, ProviderRatesTable[], 3, FALSE)</f>
        <v>225</v>
      </c>
      <c r="J78" s="6">
        <f>VLOOKUP($B78, CodeMinutesTable[[Code]:[Minutes]], 3, FALSE) * VLOOKUP(J$1, ProviderRatesTable[], 3, FALSE)</f>
        <v>200</v>
      </c>
      <c r="K78" s="6">
        <f>VLOOKUP($B78, CodeMinutesTable[[Code]:[Minutes]], 3, FALSE) * VLOOKUP(K$1, ProviderRatesTable[], 3, FALSE)</f>
        <v>125.00000000000001</v>
      </c>
      <c r="L78" s="6">
        <f>VLOOKUP($B78, CodeMinutesTable[[Code]:[Minutes]], 3, FALSE) * VLOOKUP(L$1, ProviderRatesTable[], 3, FALSE)</f>
        <v>100</v>
      </c>
    </row>
    <row r="79" spans="1:12" x14ac:dyDescent="0.25">
      <c r="A79" s="6" t="str">
        <f>INDEX(CodeMinutesTable[Frequently Used],MATCH(CodeRatesTable[[#This Row],[Billing Code]],CodeMinutesTable[Code],0))</f>
        <v>Yes</v>
      </c>
      <c r="B79" s="3" t="s">
        <v>189</v>
      </c>
      <c r="C79" t="s">
        <v>190</v>
      </c>
      <c r="D79" s="6">
        <f>VLOOKUP($B79, CodeMinutesTable[[Code]:[Minutes]], 3, FALSE) * VLOOKUP(D$1, ProviderRatesTable[], 3, FALSE)</f>
        <v>400</v>
      </c>
      <c r="E79" s="6">
        <f>VLOOKUP($B79, CodeMinutesTable[[Code]:[Minutes]], 3, FALSE) * VLOOKUP(E$1, ProviderRatesTable[], 3, FALSE)</f>
        <v>375</v>
      </c>
      <c r="F79" s="6">
        <f>VLOOKUP($B79, CodeMinutesTable[[Code]:[Minutes]], 3, FALSE) * VLOOKUP(F$1, ProviderRatesTable[], 3, FALSE)</f>
        <v>350</v>
      </c>
      <c r="G79" s="6">
        <f>VLOOKUP($B79, CodeMinutesTable[[Code]:[Minutes]], 3, FALSE) * VLOOKUP(G$1, ProviderRatesTable[], 3, FALSE)</f>
        <v>275</v>
      </c>
      <c r="H79" s="6">
        <f>VLOOKUP($B79, CodeMinutesTable[[Code]:[Minutes]], 3, FALSE) * VLOOKUP(H$1, ProviderRatesTable[], 3, FALSE)</f>
        <v>425</v>
      </c>
      <c r="I79" s="6">
        <f>VLOOKUP($B79, CodeMinutesTable[[Code]:[Minutes]], 3, FALSE) * VLOOKUP(I$1, ProviderRatesTable[], 3, FALSE)</f>
        <v>225</v>
      </c>
      <c r="J79" s="6">
        <f>VLOOKUP($B79, CodeMinutesTable[[Code]:[Minutes]], 3, FALSE) * VLOOKUP(J$1, ProviderRatesTable[], 3, FALSE)</f>
        <v>200</v>
      </c>
      <c r="K79" s="6">
        <f>VLOOKUP($B79, CodeMinutesTable[[Code]:[Minutes]], 3, FALSE) * VLOOKUP(K$1, ProviderRatesTable[], 3, FALSE)</f>
        <v>125.00000000000001</v>
      </c>
      <c r="L79" s="6">
        <f>VLOOKUP($B79, CodeMinutesTable[[Code]:[Minutes]], 3, FALSE) * VLOOKUP(L$1, ProviderRatesTable[], 3, FALSE)</f>
        <v>100</v>
      </c>
    </row>
    <row r="80" spans="1:12" x14ac:dyDescent="0.25">
      <c r="A80" s="6" t="str">
        <f>INDEX(CodeMinutesTable[Frequently Used],MATCH(CodeRatesTable[[#This Row],[Billing Code]],CodeMinutesTable[Code],0))</f>
        <v>Yes</v>
      </c>
      <c r="B80" s="3" t="s">
        <v>191</v>
      </c>
      <c r="C80" t="s">
        <v>192</v>
      </c>
      <c r="D80" s="6">
        <f>VLOOKUP($B80, CodeMinutesTable[[Code]:[Minutes]], 3, FALSE) * VLOOKUP(D$1, ProviderRatesTable[], 3, FALSE)</f>
        <v>400</v>
      </c>
      <c r="E80" s="6">
        <f>VLOOKUP($B80, CodeMinutesTable[[Code]:[Minutes]], 3, FALSE) * VLOOKUP(E$1, ProviderRatesTable[], 3, FALSE)</f>
        <v>375</v>
      </c>
      <c r="F80" s="6">
        <f>VLOOKUP($B80, CodeMinutesTable[[Code]:[Minutes]], 3, FALSE) * VLOOKUP(F$1, ProviderRatesTable[], 3, FALSE)</f>
        <v>350</v>
      </c>
      <c r="G80" s="6">
        <f>VLOOKUP($B80, CodeMinutesTable[[Code]:[Minutes]], 3, FALSE) * VLOOKUP(G$1, ProviderRatesTable[], 3, FALSE)</f>
        <v>275</v>
      </c>
      <c r="H80" s="6">
        <f>VLOOKUP($B80, CodeMinutesTable[[Code]:[Minutes]], 3, FALSE) * VLOOKUP(H$1, ProviderRatesTable[], 3, FALSE)</f>
        <v>425</v>
      </c>
      <c r="I80" s="6">
        <f>VLOOKUP($B80, CodeMinutesTable[[Code]:[Minutes]], 3, FALSE) * VLOOKUP(I$1, ProviderRatesTable[], 3, FALSE)</f>
        <v>225</v>
      </c>
      <c r="J80" s="6">
        <f>VLOOKUP($B80, CodeMinutesTable[[Code]:[Minutes]], 3, FALSE) * VLOOKUP(J$1, ProviderRatesTable[], 3, FALSE)</f>
        <v>200</v>
      </c>
      <c r="K80" s="6">
        <f>VLOOKUP($B80, CodeMinutesTable[[Code]:[Minutes]], 3, FALSE) * VLOOKUP(K$1, ProviderRatesTable[], 3, FALSE)</f>
        <v>125.00000000000001</v>
      </c>
      <c r="L80" s="6">
        <f>VLOOKUP($B80, CodeMinutesTable[[Code]:[Minutes]], 3, FALSE) * VLOOKUP(L$1, ProviderRatesTable[], 3, FALSE)</f>
        <v>100</v>
      </c>
    </row>
    <row r="81" spans="1:12" x14ac:dyDescent="0.25">
      <c r="A81" s="6" t="str">
        <f>INDEX(CodeMinutesTable[Frequently Used],MATCH(CodeRatesTable[[#This Row],[Billing Code]],CodeMinutesTable[Code],0))</f>
        <v>Yes</v>
      </c>
      <c r="B81" s="3" t="s">
        <v>193</v>
      </c>
      <c r="C81" t="s">
        <v>194</v>
      </c>
      <c r="D81" s="6">
        <f>VLOOKUP($B81, CodeMinutesTable[[Code]:[Minutes]], 3, FALSE) * VLOOKUP(D$1, ProviderRatesTable[], 3, FALSE)</f>
        <v>400</v>
      </c>
      <c r="E81" s="6">
        <f>VLOOKUP($B81, CodeMinutesTable[[Code]:[Minutes]], 3, FALSE) * VLOOKUP(E$1, ProviderRatesTable[], 3, FALSE)</f>
        <v>375</v>
      </c>
      <c r="F81" s="6">
        <f>VLOOKUP($B81, CodeMinutesTable[[Code]:[Minutes]], 3, FALSE) * VLOOKUP(F$1, ProviderRatesTable[], 3, FALSE)</f>
        <v>350</v>
      </c>
      <c r="G81" s="6">
        <f>VLOOKUP($B81, CodeMinutesTable[[Code]:[Minutes]], 3, FALSE) * VLOOKUP(G$1, ProviderRatesTable[], 3, FALSE)</f>
        <v>275</v>
      </c>
      <c r="H81" s="6">
        <f>VLOOKUP($B81, CodeMinutesTable[[Code]:[Minutes]], 3, FALSE) * VLOOKUP(H$1, ProviderRatesTable[], 3, FALSE)</f>
        <v>425</v>
      </c>
      <c r="I81" s="6">
        <f>VLOOKUP($B81, CodeMinutesTable[[Code]:[Minutes]], 3, FALSE) * VLOOKUP(I$1, ProviderRatesTable[], 3, FALSE)</f>
        <v>225</v>
      </c>
      <c r="J81" s="6">
        <f>VLOOKUP($B81, CodeMinutesTable[[Code]:[Minutes]], 3, FALSE) * VLOOKUP(J$1, ProviderRatesTable[], 3, FALSE)</f>
        <v>200</v>
      </c>
      <c r="K81" s="6">
        <f>VLOOKUP($B81, CodeMinutesTable[[Code]:[Minutes]], 3, FALSE) * VLOOKUP(K$1, ProviderRatesTable[], 3, FALSE)</f>
        <v>125.00000000000001</v>
      </c>
      <c r="L81" s="6">
        <f>VLOOKUP($B81, CodeMinutesTable[[Code]:[Minutes]], 3, FALSE) * VLOOKUP(L$1, ProviderRatesTable[], 3, FALSE)</f>
        <v>100</v>
      </c>
    </row>
    <row r="82" spans="1:12" x14ac:dyDescent="0.25">
      <c r="A82" s="6" t="str">
        <f>INDEX(CodeMinutesTable[Frequently Used],MATCH(CodeRatesTable[[#This Row],[Billing Code]],CodeMinutesTable[Code],0))</f>
        <v>Yes</v>
      </c>
      <c r="B82" s="3" t="s">
        <v>195</v>
      </c>
      <c r="C82" t="s">
        <v>196</v>
      </c>
      <c r="D82" s="6">
        <f>VLOOKUP($B82, CodeMinutesTable[[Code]:[Minutes]], 3, FALSE) * VLOOKUP(D$1, ProviderRatesTable[], 3, FALSE)</f>
        <v>400</v>
      </c>
      <c r="E82" s="6">
        <f>VLOOKUP($B82, CodeMinutesTable[[Code]:[Minutes]], 3, FALSE) * VLOOKUP(E$1, ProviderRatesTable[], 3, FALSE)</f>
        <v>375</v>
      </c>
      <c r="F82" s="6">
        <f>VLOOKUP($B82, CodeMinutesTable[[Code]:[Minutes]], 3, FALSE) * VLOOKUP(F$1, ProviderRatesTable[], 3, FALSE)</f>
        <v>350</v>
      </c>
      <c r="G82" s="6">
        <f>VLOOKUP($B82, CodeMinutesTable[[Code]:[Minutes]], 3, FALSE) * VLOOKUP(G$1, ProviderRatesTable[], 3, FALSE)</f>
        <v>275</v>
      </c>
      <c r="H82" s="6">
        <f>VLOOKUP($B82, CodeMinutesTable[[Code]:[Minutes]], 3, FALSE) * VLOOKUP(H$1, ProviderRatesTable[], 3, FALSE)</f>
        <v>425</v>
      </c>
      <c r="I82" s="6">
        <f>VLOOKUP($B82, CodeMinutesTable[[Code]:[Minutes]], 3, FALSE) * VLOOKUP(I$1, ProviderRatesTable[], 3, FALSE)</f>
        <v>225</v>
      </c>
      <c r="J82" s="6">
        <f>VLOOKUP($B82, CodeMinutesTable[[Code]:[Minutes]], 3, FALSE) * VLOOKUP(J$1, ProviderRatesTable[], 3, FALSE)</f>
        <v>200</v>
      </c>
      <c r="K82" s="6">
        <f>VLOOKUP($B82, CodeMinutesTable[[Code]:[Minutes]], 3, FALSE) * VLOOKUP(K$1, ProviderRatesTable[], 3, FALSE)</f>
        <v>125.00000000000001</v>
      </c>
      <c r="L82" s="6">
        <f>VLOOKUP($B82, CodeMinutesTable[[Code]:[Minutes]], 3, FALSE) * VLOOKUP(L$1, ProviderRatesTable[], 3, FALSE)</f>
        <v>100</v>
      </c>
    </row>
    <row r="83" spans="1:12" x14ac:dyDescent="0.25">
      <c r="A83" s="6" t="str">
        <f>INDEX(CodeMinutesTable[Frequently Used],MATCH(CodeRatesTable[[#This Row],[Billing Code]],CodeMinutesTable[Code],0))</f>
        <v>Yes</v>
      </c>
      <c r="B83" s="3" t="s">
        <v>197</v>
      </c>
      <c r="C83" t="s">
        <v>198</v>
      </c>
      <c r="D83" s="6">
        <f>VLOOKUP($B83, CodeMinutesTable[[Code]:[Minutes]], 3, FALSE) * VLOOKUP(D$1, ProviderRatesTable[], 3, FALSE)</f>
        <v>400</v>
      </c>
      <c r="E83" s="6">
        <f>VLOOKUP($B83, CodeMinutesTable[[Code]:[Minutes]], 3, FALSE) * VLOOKUP(E$1, ProviderRatesTable[], 3, FALSE)</f>
        <v>375</v>
      </c>
      <c r="F83" s="6">
        <f>VLOOKUP($B83, CodeMinutesTable[[Code]:[Minutes]], 3, FALSE) * VLOOKUP(F$1, ProviderRatesTable[], 3, FALSE)</f>
        <v>350</v>
      </c>
      <c r="G83" s="6">
        <f>VLOOKUP($B83, CodeMinutesTable[[Code]:[Minutes]], 3, FALSE) * VLOOKUP(G$1, ProviderRatesTable[], 3, FALSE)</f>
        <v>275</v>
      </c>
      <c r="H83" s="6">
        <f>VLOOKUP($B83, CodeMinutesTable[[Code]:[Minutes]], 3, FALSE) * VLOOKUP(H$1, ProviderRatesTable[], 3, FALSE)</f>
        <v>425</v>
      </c>
      <c r="I83" s="6">
        <f>VLOOKUP($B83, CodeMinutesTable[[Code]:[Minutes]], 3, FALSE) * VLOOKUP(I$1, ProviderRatesTable[], 3, FALSE)</f>
        <v>225</v>
      </c>
      <c r="J83" s="6">
        <f>VLOOKUP($B83, CodeMinutesTable[[Code]:[Minutes]], 3, FALSE) * VLOOKUP(J$1, ProviderRatesTable[], 3, FALSE)</f>
        <v>200</v>
      </c>
      <c r="K83" s="6">
        <f>VLOOKUP($B83, CodeMinutesTable[[Code]:[Minutes]], 3, FALSE) * VLOOKUP(K$1, ProviderRatesTable[], 3, FALSE)</f>
        <v>125.00000000000001</v>
      </c>
      <c r="L83" s="6">
        <f>VLOOKUP($B83, CodeMinutesTable[[Code]:[Minutes]], 3, FALSE) * VLOOKUP(L$1, ProviderRatesTable[], 3, FALSE)</f>
        <v>100</v>
      </c>
    </row>
    <row r="84" spans="1:12" x14ac:dyDescent="0.25">
      <c r="A84" s="6" t="str">
        <f>INDEX(CodeMinutesTable[Frequently Used],MATCH(CodeRatesTable[[#This Row],[Billing Code]],CodeMinutesTable[Code],0))</f>
        <v>Yes</v>
      </c>
      <c r="B84" s="3" t="s">
        <v>199</v>
      </c>
      <c r="C84" t="s">
        <v>200</v>
      </c>
      <c r="D84" s="6">
        <f>VLOOKUP($B84, CodeMinutesTable[[Code]:[Minutes]], 3, FALSE) * VLOOKUP(D$1, ProviderRatesTable[], 3, FALSE)</f>
        <v>400</v>
      </c>
      <c r="E84" s="6">
        <f>VLOOKUP($B84, CodeMinutesTable[[Code]:[Minutes]], 3, FALSE) * VLOOKUP(E$1, ProviderRatesTable[], 3, FALSE)</f>
        <v>375</v>
      </c>
      <c r="F84" s="6">
        <f>VLOOKUP($B84, CodeMinutesTable[[Code]:[Minutes]], 3, FALSE) * VLOOKUP(F$1, ProviderRatesTable[], 3, FALSE)</f>
        <v>350</v>
      </c>
      <c r="G84" s="6">
        <f>VLOOKUP($B84, CodeMinutesTable[[Code]:[Minutes]], 3, FALSE) * VLOOKUP(G$1, ProviderRatesTable[], 3, FALSE)</f>
        <v>275</v>
      </c>
      <c r="H84" s="6">
        <f>VLOOKUP($B84, CodeMinutesTable[[Code]:[Minutes]], 3, FALSE) * VLOOKUP(H$1, ProviderRatesTable[], 3, FALSE)</f>
        <v>425</v>
      </c>
      <c r="I84" s="6">
        <f>VLOOKUP($B84, CodeMinutesTable[[Code]:[Minutes]], 3, FALSE) * VLOOKUP(I$1, ProviderRatesTable[], 3, FALSE)</f>
        <v>225</v>
      </c>
      <c r="J84" s="6">
        <f>VLOOKUP($B84, CodeMinutesTable[[Code]:[Minutes]], 3, FALSE) * VLOOKUP(J$1, ProviderRatesTable[], 3, FALSE)</f>
        <v>200</v>
      </c>
      <c r="K84" s="6">
        <f>VLOOKUP($B84, CodeMinutesTable[[Code]:[Minutes]], 3, FALSE) * VLOOKUP(K$1, ProviderRatesTable[], 3, FALSE)</f>
        <v>125.00000000000001</v>
      </c>
      <c r="L84" s="6">
        <f>VLOOKUP($B84, CodeMinutesTable[[Code]:[Minutes]], 3, FALSE) * VLOOKUP(L$1, ProviderRatesTable[], 3, FALSE)</f>
        <v>100</v>
      </c>
    </row>
    <row r="85" spans="1:12" x14ac:dyDescent="0.25">
      <c r="A85" s="6" t="str">
        <f>INDEX(CodeMinutesTable[Frequently Used],MATCH(CodeRatesTable[[#This Row],[Billing Code]],CodeMinutesTable[Code],0))</f>
        <v>Yes</v>
      </c>
      <c r="B85" s="3" t="s">
        <v>201</v>
      </c>
      <c r="C85" t="s">
        <v>202</v>
      </c>
      <c r="D85" s="6">
        <f>VLOOKUP($B85, CodeMinutesTable[[Code]:[Minutes]], 3, FALSE) * VLOOKUP(D$1, ProviderRatesTable[], 3, FALSE)</f>
        <v>400</v>
      </c>
      <c r="E85" s="6">
        <f>VLOOKUP($B85, CodeMinutesTable[[Code]:[Minutes]], 3, FALSE) * VLOOKUP(E$1, ProviderRatesTable[], 3, FALSE)</f>
        <v>375</v>
      </c>
      <c r="F85" s="6">
        <f>VLOOKUP($B85, CodeMinutesTable[[Code]:[Minutes]], 3, FALSE) * VLOOKUP(F$1, ProviderRatesTable[], 3, FALSE)</f>
        <v>350</v>
      </c>
      <c r="G85" s="6">
        <f>VLOOKUP($B85, CodeMinutesTable[[Code]:[Minutes]], 3, FALSE) * VLOOKUP(G$1, ProviderRatesTable[], 3, FALSE)</f>
        <v>275</v>
      </c>
      <c r="H85" s="6">
        <f>VLOOKUP($B85, CodeMinutesTable[[Code]:[Minutes]], 3, FALSE) * VLOOKUP(H$1, ProviderRatesTable[], 3, FALSE)</f>
        <v>425</v>
      </c>
      <c r="I85" s="6">
        <f>VLOOKUP($B85, CodeMinutesTable[[Code]:[Minutes]], 3, FALSE) * VLOOKUP(I$1, ProviderRatesTable[], 3, FALSE)</f>
        <v>225</v>
      </c>
      <c r="J85" s="6">
        <f>VLOOKUP($B85, CodeMinutesTable[[Code]:[Minutes]], 3, FALSE) * VLOOKUP(J$1, ProviderRatesTable[], 3, FALSE)</f>
        <v>200</v>
      </c>
      <c r="K85" s="6">
        <f>VLOOKUP($B85, CodeMinutesTable[[Code]:[Minutes]], 3, FALSE) * VLOOKUP(K$1, ProviderRatesTable[], 3, FALSE)</f>
        <v>125.00000000000001</v>
      </c>
      <c r="L85" s="6">
        <f>VLOOKUP($B85, CodeMinutesTable[[Code]:[Minutes]], 3, FALSE) * VLOOKUP(L$1, ProviderRatesTable[], 3, FALSE)</f>
        <v>100</v>
      </c>
    </row>
    <row r="86" spans="1:12" x14ac:dyDescent="0.25">
      <c r="A86" s="6" t="str">
        <f>INDEX(CodeMinutesTable[Frequently Used],MATCH(CodeRatesTable[[#This Row],[Billing Code]],CodeMinutesTable[Code],0))</f>
        <v>Yes</v>
      </c>
      <c r="B86" s="3" t="s">
        <v>203</v>
      </c>
      <c r="C86" t="s">
        <v>204</v>
      </c>
      <c r="D86" s="6">
        <f>VLOOKUP($B86, CodeMinutesTable[[Code]:[Minutes]], 3, FALSE) * VLOOKUP(D$1, ProviderRatesTable[], 3, FALSE)</f>
        <v>400</v>
      </c>
      <c r="E86" s="6">
        <f>VLOOKUP($B86, CodeMinutesTable[[Code]:[Minutes]], 3, FALSE) * VLOOKUP(E$1, ProviderRatesTable[], 3, FALSE)</f>
        <v>375</v>
      </c>
      <c r="F86" s="6">
        <f>VLOOKUP($B86, CodeMinutesTable[[Code]:[Minutes]], 3, FALSE) * VLOOKUP(F$1, ProviderRatesTable[], 3, FALSE)</f>
        <v>350</v>
      </c>
      <c r="G86" s="6">
        <f>VLOOKUP($B86, CodeMinutesTable[[Code]:[Minutes]], 3, FALSE) * VLOOKUP(G$1, ProviderRatesTable[], 3, FALSE)</f>
        <v>275</v>
      </c>
      <c r="H86" s="6">
        <f>VLOOKUP($B86, CodeMinutesTable[[Code]:[Minutes]], 3, FALSE) * VLOOKUP(H$1, ProviderRatesTable[], 3, FALSE)</f>
        <v>425</v>
      </c>
      <c r="I86" s="6">
        <f>VLOOKUP($B86, CodeMinutesTable[[Code]:[Minutes]], 3, FALSE) * VLOOKUP(I$1, ProviderRatesTable[], 3, FALSE)</f>
        <v>225</v>
      </c>
      <c r="J86" s="6">
        <f>VLOOKUP($B86, CodeMinutesTable[[Code]:[Minutes]], 3, FALSE) * VLOOKUP(J$1, ProviderRatesTable[], 3, FALSE)</f>
        <v>200</v>
      </c>
      <c r="K86" s="6">
        <f>VLOOKUP($B86, CodeMinutesTable[[Code]:[Minutes]], 3, FALSE) * VLOOKUP(K$1, ProviderRatesTable[], 3, FALSE)</f>
        <v>125.00000000000001</v>
      </c>
      <c r="L86" s="6">
        <f>VLOOKUP($B86, CodeMinutesTable[[Code]:[Minutes]], 3, FALSE) * VLOOKUP(L$1, ProviderRatesTable[], 3, FALSE)</f>
        <v>100</v>
      </c>
    </row>
    <row r="87" spans="1:12" x14ac:dyDescent="0.25">
      <c r="A87" s="6" t="str">
        <f>INDEX(CodeMinutesTable[Frequently Used],MATCH(CodeRatesTable[[#This Row],[Billing Code]],CodeMinutesTable[Code],0))</f>
        <v>Yes</v>
      </c>
      <c r="B87" s="3" t="s">
        <v>205</v>
      </c>
      <c r="C87" t="s">
        <v>206</v>
      </c>
      <c r="D87" s="6">
        <f>VLOOKUP($B87, CodeMinutesTable[[Code]:[Minutes]], 3, FALSE) * VLOOKUP(D$1, ProviderRatesTable[], 3, FALSE)</f>
        <v>400</v>
      </c>
      <c r="E87" s="6">
        <f>VLOOKUP($B87, CodeMinutesTable[[Code]:[Minutes]], 3, FALSE) * VLOOKUP(E$1, ProviderRatesTable[], 3, FALSE)</f>
        <v>375</v>
      </c>
      <c r="F87" s="6">
        <f>VLOOKUP($B87, CodeMinutesTable[[Code]:[Minutes]], 3, FALSE) * VLOOKUP(F$1, ProviderRatesTable[], 3, FALSE)</f>
        <v>350</v>
      </c>
      <c r="G87" s="6">
        <f>VLOOKUP($B87, CodeMinutesTable[[Code]:[Minutes]], 3, FALSE) * VLOOKUP(G$1, ProviderRatesTable[], 3, FALSE)</f>
        <v>275</v>
      </c>
      <c r="H87" s="6">
        <f>VLOOKUP($B87, CodeMinutesTable[[Code]:[Minutes]], 3, FALSE) * VLOOKUP(H$1, ProviderRatesTable[], 3, FALSE)</f>
        <v>425</v>
      </c>
      <c r="I87" s="6">
        <f>VLOOKUP($B87, CodeMinutesTable[[Code]:[Minutes]], 3, FALSE) * VLOOKUP(I$1, ProviderRatesTable[], 3, FALSE)</f>
        <v>225</v>
      </c>
      <c r="J87" s="6">
        <f>VLOOKUP($B87, CodeMinutesTable[[Code]:[Minutes]], 3, FALSE) * VLOOKUP(J$1, ProviderRatesTable[], 3, FALSE)</f>
        <v>200</v>
      </c>
      <c r="K87" s="6">
        <f>VLOOKUP($B87, CodeMinutesTable[[Code]:[Minutes]], 3, FALSE) * VLOOKUP(K$1, ProviderRatesTable[], 3, FALSE)</f>
        <v>125.00000000000001</v>
      </c>
      <c r="L87" s="6">
        <f>VLOOKUP($B87, CodeMinutesTable[[Code]:[Minutes]], 3, FALSE) * VLOOKUP(L$1, ProviderRatesTable[], 3, FALSE)</f>
        <v>100</v>
      </c>
    </row>
    <row r="88" spans="1:12" x14ac:dyDescent="0.25">
      <c r="A88" s="6" t="str">
        <f>INDEX(CodeMinutesTable[Frequently Used],MATCH(CodeRatesTable[[#This Row],[Billing Code]],CodeMinutesTable[Code],0))</f>
        <v>Yes</v>
      </c>
      <c r="B88" s="3" t="s">
        <v>207</v>
      </c>
      <c r="C88" t="s">
        <v>208</v>
      </c>
      <c r="D88" s="6">
        <f>VLOOKUP($B88, CodeMinutesTable[[Code]:[Minutes]], 3, FALSE) * VLOOKUP(D$1, ProviderRatesTable[], 3, FALSE)</f>
        <v>400</v>
      </c>
      <c r="E88" s="6">
        <f>VLOOKUP($B88, CodeMinutesTable[[Code]:[Minutes]], 3, FALSE) * VLOOKUP(E$1, ProviderRatesTable[], 3, FALSE)</f>
        <v>375</v>
      </c>
      <c r="F88" s="6">
        <f>VLOOKUP($B88, CodeMinutesTable[[Code]:[Minutes]], 3, FALSE) * VLOOKUP(F$1, ProviderRatesTable[], 3, FALSE)</f>
        <v>350</v>
      </c>
      <c r="G88" s="6">
        <f>VLOOKUP($B88, CodeMinutesTable[[Code]:[Minutes]], 3, FALSE) * VLOOKUP(G$1, ProviderRatesTable[], 3, FALSE)</f>
        <v>275</v>
      </c>
      <c r="H88" s="6">
        <f>VLOOKUP($B88, CodeMinutesTable[[Code]:[Minutes]], 3, FALSE) * VLOOKUP(H$1, ProviderRatesTable[], 3, FALSE)</f>
        <v>425</v>
      </c>
      <c r="I88" s="6">
        <f>VLOOKUP($B88, CodeMinutesTable[[Code]:[Minutes]], 3, FALSE) * VLOOKUP(I$1, ProviderRatesTable[], 3, FALSE)</f>
        <v>225</v>
      </c>
      <c r="J88" s="6">
        <f>VLOOKUP($B88, CodeMinutesTable[[Code]:[Minutes]], 3, FALSE) * VLOOKUP(J$1, ProviderRatesTable[], 3, FALSE)</f>
        <v>200</v>
      </c>
      <c r="K88" s="6">
        <f>VLOOKUP($B88, CodeMinutesTable[[Code]:[Minutes]], 3, FALSE) * VLOOKUP(K$1, ProviderRatesTable[], 3, FALSE)</f>
        <v>125.00000000000001</v>
      </c>
      <c r="L88" s="6">
        <f>VLOOKUP($B88, CodeMinutesTable[[Code]:[Minutes]], 3, FALSE) * VLOOKUP(L$1, ProviderRatesTable[], 3, FALSE)</f>
        <v>100</v>
      </c>
    </row>
    <row r="89" spans="1:12" x14ac:dyDescent="0.25">
      <c r="A89" s="6" t="str">
        <f>INDEX(CodeMinutesTable[Frequently Used],MATCH(CodeRatesTable[[#This Row],[Billing Code]],CodeMinutesTable[Code],0))</f>
        <v>Yes</v>
      </c>
      <c r="B89" s="3" t="s">
        <v>209</v>
      </c>
      <c r="C89" t="s">
        <v>210</v>
      </c>
      <c r="D89" s="6">
        <f>VLOOKUP($B89, CodeMinutesTable[[Code]:[Minutes]], 3, FALSE) * VLOOKUP(D$1, ProviderRatesTable[], 3, FALSE)</f>
        <v>400</v>
      </c>
      <c r="E89" s="6">
        <f>VLOOKUP($B89, CodeMinutesTable[[Code]:[Minutes]], 3, FALSE) * VLOOKUP(E$1, ProviderRatesTable[], 3, FALSE)</f>
        <v>375</v>
      </c>
      <c r="F89" s="6">
        <f>VLOOKUP($B89, CodeMinutesTable[[Code]:[Minutes]], 3, FALSE) * VLOOKUP(F$1, ProviderRatesTable[], 3, FALSE)</f>
        <v>350</v>
      </c>
      <c r="G89" s="6">
        <f>VLOOKUP($B89, CodeMinutesTable[[Code]:[Minutes]], 3, FALSE) * VLOOKUP(G$1, ProviderRatesTable[], 3, FALSE)</f>
        <v>275</v>
      </c>
      <c r="H89" s="6">
        <f>VLOOKUP($B89, CodeMinutesTable[[Code]:[Minutes]], 3, FALSE) * VLOOKUP(H$1, ProviderRatesTable[], 3, FALSE)</f>
        <v>425</v>
      </c>
      <c r="I89" s="6">
        <f>VLOOKUP($B89, CodeMinutesTable[[Code]:[Minutes]], 3, FALSE) * VLOOKUP(I$1, ProviderRatesTable[], 3, FALSE)</f>
        <v>225</v>
      </c>
      <c r="J89" s="6">
        <f>VLOOKUP($B89, CodeMinutesTable[[Code]:[Minutes]], 3, FALSE) * VLOOKUP(J$1, ProviderRatesTable[], 3, FALSE)</f>
        <v>200</v>
      </c>
      <c r="K89" s="6">
        <f>VLOOKUP($B89, CodeMinutesTable[[Code]:[Minutes]], 3, FALSE) * VLOOKUP(K$1, ProviderRatesTable[], 3, FALSE)</f>
        <v>125.00000000000001</v>
      </c>
      <c r="L89" s="6">
        <f>VLOOKUP($B89, CodeMinutesTable[[Code]:[Minutes]], 3, FALSE) * VLOOKUP(L$1, ProviderRatesTable[], 3, FALSE)</f>
        <v>100</v>
      </c>
    </row>
    <row r="90" spans="1:12" x14ac:dyDescent="0.25">
      <c r="A90" s="6" t="str">
        <f>INDEX(CodeMinutesTable[Frequently Used],MATCH(CodeRatesTable[[#This Row],[Billing Code]],CodeMinutesTable[Code],0))</f>
        <v>Yes</v>
      </c>
      <c r="B90" s="3" t="s">
        <v>211</v>
      </c>
      <c r="C90" t="s">
        <v>212</v>
      </c>
      <c r="D90" s="6">
        <f>VLOOKUP($B90, CodeMinutesTable[[Code]:[Minutes]], 3, FALSE) * VLOOKUP(D$1, ProviderRatesTable[], 3, FALSE)</f>
        <v>400</v>
      </c>
      <c r="E90" s="6">
        <f>VLOOKUP($B90, CodeMinutesTable[[Code]:[Minutes]], 3, FALSE) * VLOOKUP(E$1, ProviderRatesTable[], 3, FALSE)</f>
        <v>375</v>
      </c>
      <c r="F90" s="6">
        <f>VLOOKUP($B90, CodeMinutesTable[[Code]:[Minutes]], 3, FALSE) * VLOOKUP(F$1, ProviderRatesTable[], 3, FALSE)</f>
        <v>350</v>
      </c>
      <c r="G90" s="6">
        <f>VLOOKUP($B90, CodeMinutesTable[[Code]:[Minutes]], 3, FALSE) * VLOOKUP(G$1, ProviderRatesTable[], 3, FALSE)</f>
        <v>275</v>
      </c>
      <c r="H90" s="6">
        <f>VLOOKUP($B90, CodeMinutesTable[[Code]:[Minutes]], 3, FALSE) * VLOOKUP(H$1, ProviderRatesTable[], 3, FALSE)</f>
        <v>425</v>
      </c>
      <c r="I90" s="6">
        <f>VLOOKUP($B90, CodeMinutesTable[[Code]:[Minutes]], 3, FALSE) * VLOOKUP(I$1, ProviderRatesTable[], 3, FALSE)</f>
        <v>225</v>
      </c>
      <c r="J90" s="6">
        <f>VLOOKUP($B90, CodeMinutesTable[[Code]:[Minutes]], 3, FALSE) * VLOOKUP(J$1, ProviderRatesTable[], 3, FALSE)</f>
        <v>200</v>
      </c>
      <c r="K90" s="6">
        <f>VLOOKUP($B90, CodeMinutesTable[[Code]:[Minutes]], 3, FALSE) * VLOOKUP(K$1, ProviderRatesTable[], 3, FALSE)</f>
        <v>125.00000000000001</v>
      </c>
      <c r="L90" s="6">
        <f>VLOOKUP($B90, CodeMinutesTable[[Code]:[Minutes]], 3, FALSE) * VLOOKUP(L$1, ProviderRatesTable[], 3, FALSE)</f>
        <v>100</v>
      </c>
    </row>
    <row r="91" spans="1:12" x14ac:dyDescent="0.25">
      <c r="A91" s="6" t="str">
        <f>INDEX(CodeMinutesTable[Frequently Used],MATCH(CodeRatesTable[[#This Row],[Billing Code]],CodeMinutesTable[Code],0))</f>
        <v>Yes</v>
      </c>
      <c r="B91" s="3" t="s">
        <v>213</v>
      </c>
      <c r="C91" t="s">
        <v>214</v>
      </c>
      <c r="D91" s="6">
        <f>VLOOKUP($B91, CodeMinutesTable[[Code]:[Minutes]], 3, FALSE) * VLOOKUP(D$1, ProviderRatesTable[], 3, FALSE)</f>
        <v>400</v>
      </c>
      <c r="E91" s="6">
        <f>VLOOKUP($B91, CodeMinutesTable[[Code]:[Minutes]], 3, FALSE) * VLOOKUP(E$1, ProviderRatesTable[], 3, FALSE)</f>
        <v>375</v>
      </c>
      <c r="F91" s="6">
        <f>VLOOKUP($B91, CodeMinutesTable[[Code]:[Minutes]], 3, FALSE) * VLOOKUP(F$1, ProviderRatesTable[], 3, FALSE)</f>
        <v>350</v>
      </c>
      <c r="G91" s="6">
        <f>VLOOKUP($B91, CodeMinutesTable[[Code]:[Minutes]], 3, FALSE) * VLOOKUP(G$1, ProviderRatesTable[], 3, FALSE)</f>
        <v>275</v>
      </c>
      <c r="H91" s="6">
        <f>VLOOKUP($B91, CodeMinutesTable[[Code]:[Minutes]], 3, FALSE) * VLOOKUP(H$1, ProviderRatesTable[], 3, FALSE)</f>
        <v>425</v>
      </c>
      <c r="I91" s="6">
        <f>VLOOKUP($B91, CodeMinutesTable[[Code]:[Minutes]], 3, FALSE) * VLOOKUP(I$1, ProviderRatesTable[], 3, FALSE)</f>
        <v>225</v>
      </c>
      <c r="J91" s="6">
        <f>VLOOKUP($B91, CodeMinutesTable[[Code]:[Minutes]], 3, FALSE) * VLOOKUP(J$1, ProviderRatesTable[], 3, FALSE)</f>
        <v>200</v>
      </c>
      <c r="K91" s="6">
        <f>VLOOKUP($B91, CodeMinutesTable[[Code]:[Minutes]], 3, FALSE) * VLOOKUP(K$1, ProviderRatesTable[], 3, FALSE)</f>
        <v>125.00000000000001</v>
      </c>
      <c r="L91" s="6">
        <f>VLOOKUP($B91, CodeMinutesTable[[Code]:[Minutes]], 3, FALSE) * VLOOKUP(L$1, ProviderRatesTable[], 3, FALSE)</f>
        <v>100</v>
      </c>
    </row>
    <row r="92" spans="1:12" x14ac:dyDescent="0.25">
      <c r="A92" s="6" t="str">
        <f>INDEX(CodeMinutesTable[Frequently Used],MATCH(CodeRatesTable[[#This Row],[Billing Code]],CodeMinutesTable[Code],0))</f>
        <v>Yes</v>
      </c>
      <c r="B92" s="3" t="s">
        <v>215</v>
      </c>
      <c r="C92" t="s">
        <v>216</v>
      </c>
      <c r="D92" s="6">
        <f>VLOOKUP($B92, CodeMinutesTable[[Code]:[Minutes]], 3, FALSE) * VLOOKUP(D$1, ProviderRatesTable[], 3, FALSE)</f>
        <v>400</v>
      </c>
      <c r="E92" s="6">
        <f>VLOOKUP($B92, CodeMinutesTable[[Code]:[Minutes]], 3, FALSE) * VLOOKUP(E$1, ProviderRatesTable[], 3, FALSE)</f>
        <v>375</v>
      </c>
      <c r="F92" s="6">
        <f>VLOOKUP($B92, CodeMinutesTable[[Code]:[Minutes]], 3, FALSE) * VLOOKUP(F$1, ProviderRatesTable[], 3, FALSE)</f>
        <v>350</v>
      </c>
      <c r="G92" s="6">
        <f>VLOOKUP($B92, CodeMinutesTable[[Code]:[Minutes]], 3, FALSE) * VLOOKUP(G$1, ProviderRatesTable[], 3, FALSE)</f>
        <v>275</v>
      </c>
      <c r="H92" s="6">
        <f>VLOOKUP($B92, CodeMinutesTable[[Code]:[Minutes]], 3, FALSE) * VLOOKUP(H$1, ProviderRatesTable[], 3, FALSE)</f>
        <v>425</v>
      </c>
      <c r="I92" s="6">
        <f>VLOOKUP($B92, CodeMinutesTable[[Code]:[Minutes]], 3, FALSE) * VLOOKUP(I$1, ProviderRatesTable[], 3, FALSE)</f>
        <v>225</v>
      </c>
      <c r="J92" s="6">
        <f>VLOOKUP($B92, CodeMinutesTable[[Code]:[Minutes]], 3, FALSE) * VLOOKUP(J$1, ProviderRatesTable[], 3, FALSE)</f>
        <v>200</v>
      </c>
      <c r="K92" s="6">
        <f>VLOOKUP($B92, CodeMinutesTable[[Code]:[Minutes]], 3, FALSE) * VLOOKUP(K$1, ProviderRatesTable[], 3, FALSE)</f>
        <v>125.00000000000001</v>
      </c>
      <c r="L92" s="6">
        <f>VLOOKUP($B92, CodeMinutesTable[[Code]:[Minutes]], 3, FALSE) * VLOOKUP(L$1, ProviderRatesTable[], 3, FALSE)</f>
        <v>100</v>
      </c>
    </row>
    <row r="93" spans="1:12" x14ac:dyDescent="0.25">
      <c r="A93" s="6" t="str">
        <f>INDEX(CodeMinutesTable[Frequently Used],MATCH(CodeRatesTable[[#This Row],[Billing Code]],CodeMinutesTable[Code],0))</f>
        <v>Yes</v>
      </c>
      <c r="B93" s="3" t="s">
        <v>217</v>
      </c>
      <c r="C93" t="s">
        <v>218</v>
      </c>
      <c r="D93" s="6">
        <f>VLOOKUP($B93, CodeMinutesTable[[Code]:[Minutes]], 3, FALSE) * VLOOKUP(D$1, ProviderRatesTable[], 3, FALSE)</f>
        <v>400</v>
      </c>
      <c r="E93" s="6">
        <f>VLOOKUP($B93, CodeMinutesTable[[Code]:[Minutes]], 3, FALSE) * VLOOKUP(E$1, ProviderRatesTable[], 3, FALSE)</f>
        <v>375</v>
      </c>
      <c r="F93" s="6">
        <f>VLOOKUP($B93, CodeMinutesTable[[Code]:[Minutes]], 3, FALSE) * VLOOKUP(F$1, ProviderRatesTable[], 3, FALSE)</f>
        <v>350</v>
      </c>
      <c r="G93" s="6">
        <f>VLOOKUP($B93, CodeMinutesTable[[Code]:[Minutes]], 3, FALSE) * VLOOKUP(G$1, ProviderRatesTable[], 3, FALSE)</f>
        <v>275</v>
      </c>
      <c r="H93" s="6">
        <f>VLOOKUP($B93, CodeMinutesTable[[Code]:[Minutes]], 3, FALSE) * VLOOKUP(H$1, ProviderRatesTable[], 3, FALSE)</f>
        <v>425</v>
      </c>
      <c r="I93" s="6">
        <f>VLOOKUP($B93, CodeMinutesTable[[Code]:[Minutes]], 3, FALSE) * VLOOKUP(I$1, ProviderRatesTable[], 3, FALSE)</f>
        <v>225</v>
      </c>
      <c r="J93" s="6">
        <f>VLOOKUP($B93, CodeMinutesTable[[Code]:[Minutes]], 3, FALSE) * VLOOKUP(J$1, ProviderRatesTable[], 3, FALSE)</f>
        <v>200</v>
      </c>
      <c r="K93" s="6">
        <f>VLOOKUP($B93, CodeMinutesTable[[Code]:[Minutes]], 3, FALSE) * VLOOKUP(K$1, ProviderRatesTable[], 3, FALSE)</f>
        <v>125.00000000000001</v>
      </c>
      <c r="L93" s="6">
        <f>VLOOKUP($B93, CodeMinutesTable[[Code]:[Minutes]], 3, FALSE) * VLOOKUP(L$1, ProviderRatesTable[], 3, FALSE)</f>
        <v>100</v>
      </c>
    </row>
    <row r="94" spans="1:12" x14ac:dyDescent="0.25">
      <c r="A94" s="6" t="str">
        <f>INDEX(CodeMinutesTable[Frequently Used],MATCH(CodeRatesTable[[#This Row],[Billing Code]],CodeMinutesTable[Code],0))</f>
        <v>Yes</v>
      </c>
      <c r="B94" s="3" t="s">
        <v>219</v>
      </c>
      <c r="C94" t="s">
        <v>220</v>
      </c>
      <c r="D94" s="6">
        <f>VLOOKUP($B94, CodeMinutesTable[[Code]:[Minutes]], 3, FALSE) * VLOOKUP(D$1, ProviderRatesTable[], 3, FALSE)</f>
        <v>400</v>
      </c>
      <c r="E94" s="6">
        <f>VLOOKUP($B94, CodeMinutesTable[[Code]:[Minutes]], 3, FALSE) * VLOOKUP(E$1, ProviderRatesTable[], 3, FALSE)</f>
        <v>375</v>
      </c>
      <c r="F94" s="6">
        <f>VLOOKUP($B94, CodeMinutesTable[[Code]:[Minutes]], 3, FALSE) * VLOOKUP(F$1, ProviderRatesTable[], 3, FALSE)</f>
        <v>350</v>
      </c>
      <c r="G94" s="6">
        <f>VLOOKUP($B94, CodeMinutesTable[[Code]:[Minutes]], 3, FALSE) * VLOOKUP(G$1, ProviderRatesTable[], 3, FALSE)</f>
        <v>275</v>
      </c>
      <c r="H94" s="6">
        <f>VLOOKUP($B94, CodeMinutesTable[[Code]:[Minutes]], 3, FALSE) * VLOOKUP(H$1, ProviderRatesTable[], 3, FALSE)</f>
        <v>425</v>
      </c>
      <c r="I94" s="6">
        <f>VLOOKUP($B94, CodeMinutesTable[[Code]:[Minutes]], 3, FALSE) * VLOOKUP(I$1, ProviderRatesTable[], 3, FALSE)</f>
        <v>225</v>
      </c>
      <c r="J94" s="6">
        <f>VLOOKUP($B94, CodeMinutesTable[[Code]:[Minutes]], 3, FALSE) * VLOOKUP(J$1, ProviderRatesTable[], 3, FALSE)</f>
        <v>200</v>
      </c>
      <c r="K94" s="6">
        <f>VLOOKUP($B94, CodeMinutesTable[[Code]:[Minutes]], 3, FALSE) * VLOOKUP(K$1, ProviderRatesTable[], 3, FALSE)</f>
        <v>125.00000000000001</v>
      </c>
      <c r="L94" s="6">
        <f>VLOOKUP($B94, CodeMinutesTable[[Code]:[Minutes]], 3, FALSE) * VLOOKUP(L$1, ProviderRatesTable[], 3, FALSE)</f>
        <v>100</v>
      </c>
    </row>
    <row r="95" spans="1:12" x14ac:dyDescent="0.25">
      <c r="A95" s="6" t="str">
        <f>INDEX(CodeMinutesTable[Frequently Used],MATCH(CodeRatesTable[[#This Row],[Billing Code]],CodeMinutesTable[Code],0))</f>
        <v>Yes</v>
      </c>
      <c r="B95" s="3" t="s">
        <v>221</v>
      </c>
      <c r="C95" t="s">
        <v>222</v>
      </c>
      <c r="D95" s="6">
        <f>VLOOKUP($B95, CodeMinutesTable[[Code]:[Minutes]], 3, FALSE) * VLOOKUP(D$1, ProviderRatesTable[], 3, FALSE)</f>
        <v>1600</v>
      </c>
      <c r="E95" s="6">
        <f>VLOOKUP($B95, CodeMinutesTable[[Code]:[Minutes]], 3, FALSE) * VLOOKUP(E$1, ProviderRatesTable[], 3, FALSE)</f>
        <v>1500</v>
      </c>
      <c r="F95" s="6">
        <f>VLOOKUP($B95, CodeMinutesTable[[Code]:[Minutes]], 3, FALSE) * VLOOKUP(F$1, ProviderRatesTable[], 3, FALSE)</f>
        <v>1400</v>
      </c>
      <c r="G95" s="6">
        <f>VLOOKUP($B95, CodeMinutesTable[[Code]:[Minutes]], 3, FALSE) * VLOOKUP(G$1, ProviderRatesTable[], 3, FALSE)</f>
        <v>1100</v>
      </c>
      <c r="H95" s="6">
        <f>VLOOKUP($B95, CodeMinutesTable[[Code]:[Minutes]], 3, FALSE) * VLOOKUP(H$1, ProviderRatesTable[], 3, FALSE)</f>
        <v>1700</v>
      </c>
      <c r="I95" s="6">
        <f>VLOOKUP($B95, CodeMinutesTable[[Code]:[Minutes]], 3, FALSE) * VLOOKUP(I$1, ProviderRatesTable[], 3, FALSE)</f>
        <v>900</v>
      </c>
      <c r="J95" s="6">
        <f>VLOOKUP($B95, CodeMinutesTable[[Code]:[Minutes]], 3, FALSE) * VLOOKUP(J$1, ProviderRatesTable[], 3, FALSE)</f>
        <v>800</v>
      </c>
      <c r="K95" s="6">
        <f>VLOOKUP($B95, CodeMinutesTable[[Code]:[Minutes]], 3, FALSE) * VLOOKUP(K$1, ProviderRatesTable[], 3, FALSE)</f>
        <v>500.00000000000006</v>
      </c>
      <c r="L95" s="6">
        <f>VLOOKUP($B95, CodeMinutesTable[[Code]:[Minutes]], 3, FALSE) * VLOOKUP(L$1, ProviderRatesTable[], 3, FALSE)</f>
        <v>400</v>
      </c>
    </row>
    <row r="96" spans="1:12" x14ac:dyDescent="0.25">
      <c r="A96" s="6" t="str">
        <f>INDEX(CodeMinutesTable[Frequently Used],MATCH(CodeRatesTable[[#This Row],[Billing Code]],CodeMinutesTable[Code],0))</f>
        <v>Yes</v>
      </c>
      <c r="B96" s="3" t="s">
        <v>223</v>
      </c>
      <c r="C96" t="s">
        <v>224</v>
      </c>
      <c r="D96" s="6">
        <f>VLOOKUP($B96, CodeMinutesTable[[Code]:[Minutes]], 3, FALSE) * VLOOKUP(D$1, ProviderRatesTable[], 3, FALSE)</f>
        <v>400</v>
      </c>
      <c r="E96" s="6">
        <f>VLOOKUP($B96, CodeMinutesTable[[Code]:[Minutes]], 3, FALSE) * VLOOKUP(E$1, ProviderRatesTable[], 3, FALSE)</f>
        <v>375</v>
      </c>
      <c r="F96" s="6">
        <f>VLOOKUP($B96, CodeMinutesTable[[Code]:[Minutes]], 3, FALSE) * VLOOKUP(F$1, ProviderRatesTable[], 3, FALSE)</f>
        <v>350</v>
      </c>
      <c r="G96" s="6">
        <f>VLOOKUP($B96, CodeMinutesTable[[Code]:[Minutes]], 3, FALSE) * VLOOKUP(G$1, ProviderRatesTable[], 3, FALSE)</f>
        <v>275</v>
      </c>
      <c r="H96" s="6">
        <f>VLOOKUP($B96, CodeMinutesTable[[Code]:[Minutes]], 3, FALSE) * VLOOKUP(H$1, ProviderRatesTable[], 3, FALSE)</f>
        <v>425</v>
      </c>
      <c r="I96" s="6">
        <f>VLOOKUP($B96, CodeMinutesTable[[Code]:[Minutes]], 3, FALSE) * VLOOKUP(I$1, ProviderRatesTable[], 3, FALSE)</f>
        <v>225</v>
      </c>
      <c r="J96" s="6">
        <f>VLOOKUP($B96, CodeMinutesTable[[Code]:[Minutes]], 3, FALSE) * VLOOKUP(J$1, ProviderRatesTable[], 3, FALSE)</f>
        <v>200</v>
      </c>
      <c r="K96" s="6">
        <f>VLOOKUP($B96, CodeMinutesTable[[Code]:[Minutes]], 3, FALSE) * VLOOKUP(K$1, ProviderRatesTable[], 3, FALSE)</f>
        <v>125.00000000000001</v>
      </c>
      <c r="L96" s="6">
        <f>VLOOKUP($B96, CodeMinutesTable[[Code]:[Minutes]], 3, FALSE) * VLOOKUP(L$1, ProviderRatesTable[], 3, FALSE)</f>
        <v>100</v>
      </c>
    </row>
    <row r="97" spans="1:12" x14ac:dyDescent="0.25">
      <c r="A97" s="6" t="str">
        <f>INDEX(CodeMinutesTable[Frequently Used],MATCH(CodeRatesTable[[#This Row],[Billing Code]],CodeMinutesTable[Code],0))</f>
        <v>Yes</v>
      </c>
      <c r="B97" s="3" t="s">
        <v>225</v>
      </c>
      <c r="C97" t="s">
        <v>226</v>
      </c>
      <c r="D97" s="6">
        <f>VLOOKUP($B97, CodeMinutesTable[[Code]:[Minutes]], 3, FALSE) * VLOOKUP(D$1, ProviderRatesTable[], 3, FALSE)</f>
        <v>400</v>
      </c>
      <c r="E97" s="6">
        <f>VLOOKUP($B97, CodeMinutesTable[[Code]:[Minutes]], 3, FALSE) * VLOOKUP(E$1, ProviderRatesTable[], 3, FALSE)</f>
        <v>375</v>
      </c>
      <c r="F97" s="6">
        <f>VLOOKUP($B97, CodeMinutesTable[[Code]:[Minutes]], 3, FALSE) * VLOOKUP(F$1, ProviderRatesTable[], 3, FALSE)</f>
        <v>350</v>
      </c>
      <c r="G97" s="6">
        <f>VLOOKUP($B97, CodeMinutesTable[[Code]:[Minutes]], 3, FALSE) * VLOOKUP(G$1, ProviderRatesTable[], 3, FALSE)</f>
        <v>275</v>
      </c>
      <c r="H97" s="6">
        <f>VLOOKUP($B97, CodeMinutesTable[[Code]:[Minutes]], 3, FALSE) * VLOOKUP(H$1, ProviderRatesTable[], 3, FALSE)</f>
        <v>425</v>
      </c>
      <c r="I97" s="6">
        <f>VLOOKUP($B97, CodeMinutesTable[[Code]:[Minutes]], 3, FALSE) * VLOOKUP(I$1, ProviderRatesTable[], 3, FALSE)</f>
        <v>225</v>
      </c>
      <c r="J97" s="6">
        <f>VLOOKUP($B97, CodeMinutesTable[[Code]:[Minutes]], 3, FALSE) * VLOOKUP(J$1, ProviderRatesTable[], 3, FALSE)</f>
        <v>200</v>
      </c>
      <c r="K97" s="6">
        <f>VLOOKUP($B97, CodeMinutesTable[[Code]:[Minutes]], 3, FALSE) * VLOOKUP(K$1, ProviderRatesTable[], 3, FALSE)</f>
        <v>125.00000000000001</v>
      </c>
      <c r="L97" s="6">
        <f>VLOOKUP($B97, CodeMinutesTable[[Code]:[Minutes]], 3, FALSE) * VLOOKUP(L$1, ProviderRatesTable[], 3, FALSE)</f>
        <v>100</v>
      </c>
    </row>
    <row r="98" spans="1:12" x14ac:dyDescent="0.25">
      <c r="A98" s="6" t="str">
        <f>INDEX(CodeMinutesTable[Frequently Used],MATCH(CodeRatesTable[[#This Row],[Billing Code]],CodeMinutesTable[Code],0))</f>
        <v>Yes</v>
      </c>
      <c r="B98" s="3" t="s">
        <v>227</v>
      </c>
      <c r="C98" t="s">
        <v>228</v>
      </c>
      <c r="D98" s="6">
        <f>VLOOKUP($B98, CodeMinutesTable[[Code]:[Minutes]], 3, FALSE) * VLOOKUP(D$1, ProviderRatesTable[], 3, FALSE)</f>
        <v>400</v>
      </c>
      <c r="E98" s="6">
        <f>VLOOKUP($B98, CodeMinutesTable[[Code]:[Minutes]], 3, FALSE) * VLOOKUP(E$1, ProviderRatesTable[], 3, FALSE)</f>
        <v>375</v>
      </c>
      <c r="F98" s="6">
        <f>VLOOKUP($B98, CodeMinutesTable[[Code]:[Minutes]], 3, FALSE) * VLOOKUP(F$1, ProviderRatesTable[], 3, FALSE)</f>
        <v>350</v>
      </c>
      <c r="G98" s="6">
        <f>VLOOKUP($B98, CodeMinutesTable[[Code]:[Minutes]], 3, FALSE) * VLOOKUP(G$1, ProviderRatesTable[], 3, FALSE)</f>
        <v>275</v>
      </c>
      <c r="H98" s="6">
        <f>VLOOKUP($B98, CodeMinutesTable[[Code]:[Minutes]], 3, FALSE) * VLOOKUP(H$1, ProviderRatesTable[], 3, FALSE)</f>
        <v>425</v>
      </c>
      <c r="I98" s="6">
        <f>VLOOKUP($B98, CodeMinutesTable[[Code]:[Minutes]], 3, FALSE) * VLOOKUP(I$1, ProviderRatesTable[], 3, FALSE)</f>
        <v>225</v>
      </c>
      <c r="J98" s="6">
        <f>VLOOKUP($B98, CodeMinutesTable[[Code]:[Minutes]], 3, FALSE) * VLOOKUP(J$1, ProviderRatesTable[], 3, FALSE)</f>
        <v>200</v>
      </c>
      <c r="K98" s="6">
        <f>VLOOKUP($B98, CodeMinutesTable[[Code]:[Minutes]], 3, FALSE) * VLOOKUP(K$1, ProviderRatesTable[], 3, FALSE)</f>
        <v>125.00000000000001</v>
      </c>
      <c r="L98" s="6">
        <f>VLOOKUP($B98, CodeMinutesTable[[Code]:[Minutes]], 3, FALSE) * VLOOKUP(L$1, ProviderRatesTable[], 3, FALSE)</f>
        <v>100</v>
      </c>
    </row>
    <row r="99" spans="1:12" x14ac:dyDescent="0.25">
      <c r="A99" s="6" t="str">
        <f>INDEX(CodeMinutesTable[Frequently Used],MATCH(CodeRatesTable[[#This Row],[Billing Code]],CodeMinutesTable[Code],0))</f>
        <v>Yes</v>
      </c>
      <c r="B99" s="3" t="s">
        <v>229</v>
      </c>
      <c r="C99" t="s">
        <v>230</v>
      </c>
      <c r="D99" s="6">
        <f>VLOOKUP($B99, CodeMinutesTable[[Code]:[Minutes]], 3, FALSE) * VLOOKUP(D$1, ProviderRatesTable[], 3, FALSE)</f>
        <v>400</v>
      </c>
      <c r="E99" s="6">
        <f>VLOOKUP($B99, CodeMinutesTable[[Code]:[Minutes]], 3, FALSE) * VLOOKUP(E$1, ProviderRatesTable[], 3, FALSE)</f>
        <v>375</v>
      </c>
      <c r="F99" s="6">
        <f>VLOOKUP($B99, CodeMinutesTable[[Code]:[Minutes]], 3, FALSE) * VLOOKUP(F$1, ProviderRatesTable[], 3, FALSE)</f>
        <v>350</v>
      </c>
      <c r="G99" s="6">
        <f>VLOOKUP($B99, CodeMinutesTable[[Code]:[Minutes]], 3, FALSE) * VLOOKUP(G$1, ProviderRatesTable[], 3, FALSE)</f>
        <v>275</v>
      </c>
      <c r="H99" s="6">
        <f>VLOOKUP($B99, CodeMinutesTable[[Code]:[Minutes]], 3, FALSE) * VLOOKUP(H$1, ProviderRatesTable[], 3, FALSE)</f>
        <v>425</v>
      </c>
      <c r="I99" s="6">
        <f>VLOOKUP($B99, CodeMinutesTable[[Code]:[Minutes]], 3, FALSE) * VLOOKUP(I$1, ProviderRatesTable[], 3, FALSE)</f>
        <v>225</v>
      </c>
      <c r="J99" s="6">
        <f>VLOOKUP($B99, CodeMinutesTable[[Code]:[Minutes]], 3, FALSE) * VLOOKUP(J$1, ProviderRatesTable[], 3, FALSE)</f>
        <v>200</v>
      </c>
      <c r="K99" s="6">
        <f>VLOOKUP($B99, CodeMinutesTable[[Code]:[Minutes]], 3, FALSE) * VLOOKUP(K$1, ProviderRatesTable[], 3, FALSE)</f>
        <v>125.00000000000001</v>
      </c>
      <c r="L99" s="6">
        <f>VLOOKUP($B99, CodeMinutesTable[[Code]:[Minutes]], 3, FALSE) * VLOOKUP(L$1, ProviderRatesTable[], 3, FALSE)</f>
        <v>100</v>
      </c>
    </row>
  </sheetData>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29631-AF4C-4467-8634-F88A437C361C}">
  <dimension ref="A1:D99"/>
  <sheetViews>
    <sheetView workbookViewId="0">
      <pane ySplit="1" topLeftCell="A2" activePane="bottomLeft" state="frozen"/>
      <selection pane="bottomLeft" sqref="A1:XFD1"/>
    </sheetView>
  </sheetViews>
  <sheetFormatPr defaultRowHeight="15" x14ac:dyDescent="0.25"/>
  <cols>
    <col min="1" max="1" width="10.7109375" customWidth="1"/>
    <col min="2" max="2" width="10.140625" style="5" bestFit="1" customWidth="1"/>
    <col min="3" max="3" width="60.7109375" style="5" customWidth="1"/>
    <col min="4" max="4" width="13" style="5" bestFit="1" customWidth="1"/>
  </cols>
  <sheetData>
    <row r="1" spans="1:4" ht="45" customHeight="1" x14ac:dyDescent="0.25">
      <c r="A1" s="1" t="s">
        <v>23</v>
      </c>
      <c r="B1" s="1" t="s">
        <v>231</v>
      </c>
      <c r="C1" s="1" t="s">
        <v>232</v>
      </c>
      <c r="D1" s="1" t="s">
        <v>233</v>
      </c>
    </row>
    <row r="2" spans="1:4" x14ac:dyDescent="0.25">
      <c r="A2" s="5" t="s">
        <v>234</v>
      </c>
      <c r="B2" s="5" t="s">
        <v>35</v>
      </c>
      <c r="C2" s="7" t="s">
        <v>36</v>
      </c>
      <c r="D2" s="5" t="s">
        <v>235</v>
      </c>
    </row>
    <row r="3" spans="1:4" x14ac:dyDescent="0.25">
      <c r="A3" s="5" t="s">
        <v>234</v>
      </c>
      <c r="B3" s="5" t="s">
        <v>37</v>
      </c>
      <c r="C3" s="7" t="s">
        <v>38</v>
      </c>
      <c r="D3" s="5" t="s">
        <v>235</v>
      </c>
    </row>
    <row r="4" spans="1:4" x14ac:dyDescent="0.25">
      <c r="A4" s="5" t="s">
        <v>234</v>
      </c>
      <c r="B4" s="5" t="s">
        <v>39</v>
      </c>
      <c r="C4" s="7" t="s">
        <v>40</v>
      </c>
      <c r="D4" s="5" t="s">
        <v>235</v>
      </c>
    </row>
    <row r="5" spans="1:4" x14ac:dyDescent="0.25">
      <c r="A5" s="5" t="s">
        <v>234</v>
      </c>
      <c r="B5" s="5" t="s">
        <v>41</v>
      </c>
      <c r="C5" s="7" t="s">
        <v>42</v>
      </c>
      <c r="D5" s="5" t="s">
        <v>236</v>
      </c>
    </row>
    <row r="6" spans="1:4" x14ac:dyDescent="0.25">
      <c r="A6" s="5" t="s">
        <v>234</v>
      </c>
      <c r="B6" s="5" t="s">
        <v>43</v>
      </c>
      <c r="C6" s="7" t="s">
        <v>44</v>
      </c>
      <c r="D6" s="5" t="s">
        <v>236</v>
      </c>
    </row>
    <row r="7" spans="1:4" x14ac:dyDescent="0.25">
      <c r="A7" s="5" t="s">
        <v>234</v>
      </c>
      <c r="B7" s="5" t="s">
        <v>45</v>
      </c>
      <c r="C7" s="7" t="s">
        <v>46</v>
      </c>
      <c r="D7" s="5" t="s">
        <v>235</v>
      </c>
    </row>
    <row r="8" spans="1:4" x14ac:dyDescent="0.25">
      <c r="A8" s="5" t="s">
        <v>237</v>
      </c>
      <c r="B8" s="5" t="s">
        <v>47</v>
      </c>
      <c r="C8" s="7" t="s">
        <v>48</v>
      </c>
      <c r="D8" s="5" t="s">
        <v>235</v>
      </c>
    </row>
    <row r="9" spans="1:4" x14ac:dyDescent="0.25">
      <c r="A9" s="5" t="s">
        <v>237</v>
      </c>
      <c r="B9" s="5" t="s">
        <v>49</v>
      </c>
      <c r="C9" s="7" t="s">
        <v>50</v>
      </c>
      <c r="D9" s="5" t="s">
        <v>235</v>
      </c>
    </row>
    <row r="10" spans="1:4" x14ac:dyDescent="0.25">
      <c r="A10" s="5" t="s">
        <v>237</v>
      </c>
      <c r="B10" s="5" t="s">
        <v>51</v>
      </c>
      <c r="C10" s="7" t="s">
        <v>52</v>
      </c>
      <c r="D10" s="5" t="s">
        <v>235</v>
      </c>
    </row>
    <row r="11" spans="1:4" x14ac:dyDescent="0.25">
      <c r="A11" s="5" t="s">
        <v>237</v>
      </c>
      <c r="B11" s="5" t="s">
        <v>53</v>
      </c>
      <c r="C11" s="7" t="s">
        <v>54</v>
      </c>
      <c r="D11" s="5" t="s">
        <v>235</v>
      </c>
    </row>
    <row r="12" spans="1:4" x14ac:dyDescent="0.25">
      <c r="A12" s="5" t="s">
        <v>234</v>
      </c>
      <c r="B12" s="5" t="s">
        <v>55</v>
      </c>
      <c r="C12" s="7" t="s">
        <v>56</v>
      </c>
      <c r="D12" s="5" t="s">
        <v>235</v>
      </c>
    </row>
    <row r="13" spans="1:4" x14ac:dyDescent="0.25">
      <c r="A13" s="5" t="s">
        <v>237</v>
      </c>
      <c r="B13" s="5" t="s">
        <v>57</v>
      </c>
      <c r="C13" s="7" t="s">
        <v>58</v>
      </c>
      <c r="D13" s="5" t="s">
        <v>238</v>
      </c>
    </row>
    <row r="14" spans="1:4" x14ac:dyDescent="0.25">
      <c r="A14" s="5" t="s">
        <v>237</v>
      </c>
      <c r="B14" s="5" t="s">
        <v>59</v>
      </c>
      <c r="C14" s="7" t="s">
        <v>60</v>
      </c>
      <c r="D14" s="5" t="s">
        <v>238</v>
      </c>
    </row>
    <row r="15" spans="1:4" x14ac:dyDescent="0.25">
      <c r="A15" s="5" t="s">
        <v>234</v>
      </c>
      <c r="B15" s="5" t="s">
        <v>61</v>
      </c>
      <c r="C15" s="7" t="s">
        <v>62</v>
      </c>
      <c r="D15" s="5" t="s">
        <v>235</v>
      </c>
    </row>
    <row r="16" spans="1:4" x14ac:dyDescent="0.25">
      <c r="A16" s="5" t="s">
        <v>234</v>
      </c>
      <c r="B16" s="5" t="s">
        <v>63</v>
      </c>
      <c r="C16" s="7" t="s">
        <v>64</v>
      </c>
      <c r="D16" s="5" t="s">
        <v>239</v>
      </c>
    </row>
    <row r="17" spans="1:4" x14ac:dyDescent="0.25">
      <c r="A17" s="5" t="s">
        <v>234</v>
      </c>
      <c r="B17" s="5" t="s">
        <v>65</v>
      </c>
      <c r="C17" s="7" t="s">
        <v>66</v>
      </c>
      <c r="D17" s="5" t="s">
        <v>235</v>
      </c>
    </row>
    <row r="18" spans="1:4" x14ac:dyDescent="0.25">
      <c r="A18" s="5" t="s">
        <v>234</v>
      </c>
      <c r="B18" s="5" t="s">
        <v>67</v>
      </c>
      <c r="C18" s="7" t="s">
        <v>68</v>
      </c>
      <c r="D18" s="5" t="s">
        <v>240</v>
      </c>
    </row>
    <row r="19" spans="1:4" x14ac:dyDescent="0.25">
      <c r="A19" s="5" t="s">
        <v>234</v>
      </c>
      <c r="B19" s="5" t="s">
        <v>69</v>
      </c>
      <c r="C19" s="7" t="s">
        <v>70</v>
      </c>
      <c r="D19" s="5" t="s">
        <v>241</v>
      </c>
    </row>
    <row r="20" spans="1:4" x14ac:dyDescent="0.25">
      <c r="A20" s="5" t="s">
        <v>234</v>
      </c>
      <c r="B20" s="5" t="s">
        <v>71</v>
      </c>
      <c r="C20" s="7" t="s">
        <v>72</v>
      </c>
      <c r="D20" s="5" t="s">
        <v>242</v>
      </c>
    </row>
    <row r="21" spans="1:4" x14ac:dyDescent="0.25">
      <c r="A21" s="5" t="s">
        <v>234</v>
      </c>
      <c r="B21" s="5" t="s">
        <v>73</v>
      </c>
      <c r="C21" s="7" t="s">
        <v>74</v>
      </c>
      <c r="D21" s="5" t="s">
        <v>243</v>
      </c>
    </row>
    <row r="22" spans="1:4" x14ac:dyDescent="0.25">
      <c r="A22" s="5" t="s">
        <v>234</v>
      </c>
      <c r="B22" s="5" t="s">
        <v>75</v>
      </c>
      <c r="C22" s="7" t="s">
        <v>76</v>
      </c>
      <c r="D22" s="5" t="s">
        <v>244</v>
      </c>
    </row>
    <row r="23" spans="1:4" x14ac:dyDescent="0.25">
      <c r="A23" s="5" t="s">
        <v>234</v>
      </c>
      <c r="B23" s="5" t="s">
        <v>77</v>
      </c>
      <c r="C23" s="7" t="s">
        <v>78</v>
      </c>
      <c r="D23" s="5" t="s">
        <v>245</v>
      </c>
    </row>
    <row r="24" spans="1:4" x14ac:dyDescent="0.25">
      <c r="A24" s="5" t="s">
        <v>234</v>
      </c>
      <c r="B24" s="5" t="s">
        <v>79</v>
      </c>
      <c r="C24" s="7" t="s">
        <v>80</v>
      </c>
      <c r="D24" s="5" t="s">
        <v>246</v>
      </c>
    </row>
    <row r="25" spans="1:4" x14ac:dyDescent="0.25">
      <c r="A25" s="5" t="s">
        <v>234</v>
      </c>
      <c r="B25" s="5" t="s">
        <v>81</v>
      </c>
      <c r="C25" s="7" t="s">
        <v>82</v>
      </c>
      <c r="D25" s="5" t="s">
        <v>235</v>
      </c>
    </row>
    <row r="26" spans="1:4" x14ac:dyDescent="0.25">
      <c r="A26" s="5" t="s">
        <v>234</v>
      </c>
      <c r="B26" s="5" t="s">
        <v>83</v>
      </c>
      <c r="C26" s="7" t="s">
        <v>84</v>
      </c>
      <c r="D26" s="5" t="s">
        <v>247</v>
      </c>
    </row>
    <row r="27" spans="1:4" x14ac:dyDescent="0.25">
      <c r="A27" s="5" t="s">
        <v>234</v>
      </c>
      <c r="B27" s="5" t="s">
        <v>85</v>
      </c>
      <c r="C27" s="7" t="s">
        <v>86</v>
      </c>
      <c r="D27" s="5" t="s">
        <v>248</v>
      </c>
    </row>
    <row r="28" spans="1:4" x14ac:dyDescent="0.25">
      <c r="A28" s="5" t="s">
        <v>234</v>
      </c>
      <c r="B28" s="5" t="s">
        <v>87</v>
      </c>
      <c r="C28" s="7" t="s">
        <v>88</v>
      </c>
      <c r="D28" s="5" t="s">
        <v>249</v>
      </c>
    </row>
    <row r="29" spans="1:4" x14ac:dyDescent="0.25">
      <c r="A29" s="5" t="s">
        <v>237</v>
      </c>
      <c r="B29" s="5" t="s">
        <v>89</v>
      </c>
      <c r="C29" s="7" t="s">
        <v>90</v>
      </c>
      <c r="D29" s="5" t="s">
        <v>235</v>
      </c>
    </row>
    <row r="30" spans="1:4" x14ac:dyDescent="0.25">
      <c r="A30" s="5" t="s">
        <v>237</v>
      </c>
      <c r="B30" s="5" t="s">
        <v>91</v>
      </c>
      <c r="C30" s="7" t="s">
        <v>92</v>
      </c>
      <c r="D30" s="5" t="s">
        <v>250</v>
      </c>
    </row>
    <row r="31" spans="1:4" x14ac:dyDescent="0.25">
      <c r="A31" s="5" t="s">
        <v>237</v>
      </c>
      <c r="B31" s="5" t="s">
        <v>93</v>
      </c>
      <c r="C31" s="7" t="s">
        <v>94</v>
      </c>
      <c r="D31" s="5" t="s">
        <v>251</v>
      </c>
    </row>
    <row r="32" spans="1:4" x14ac:dyDescent="0.25">
      <c r="A32" s="5" t="s">
        <v>237</v>
      </c>
      <c r="B32" s="5" t="s">
        <v>95</v>
      </c>
      <c r="C32" s="7" t="s">
        <v>96</v>
      </c>
      <c r="D32" s="5" t="s">
        <v>252</v>
      </c>
    </row>
    <row r="33" spans="1:4" x14ac:dyDescent="0.25">
      <c r="A33" s="5" t="s">
        <v>237</v>
      </c>
      <c r="B33" s="5" t="s">
        <v>97</v>
      </c>
      <c r="C33" s="7" t="s">
        <v>98</v>
      </c>
      <c r="D33" s="5" t="s">
        <v>253</v>
      </c>
    </row>
    <row r="34" spans="1:4" x14ac:dyDescent="0.25">
      <c r="A34" s="5" t="s">
        <v>237</v>
      </c>
      <c r="B34" s="5" t="s">
        <v>99</v>
      </c>
      <c r="C34" s="7" t="s">
        <v>100</v>
      </c>
      <c r="D34" s="5" t="s">
        <v>248</v>
      </c>
    </row>
    <row r="35" spans="1:4" x14ac:dyDescent="0.25">
      <c r="A35" s="5" t="s">
        <v>237</v>
      </c>
      <c r="B35" s="5" t="s">
        <v>101</v>
      </c>
      <c r="C35" s="7" t="s">
        <v>102</v>
      </c>
      <c r="D35" s="5" t="s">
        <v>236</v>
      </c>
    </row>
    <row r="36" spans="1:4" x14ac:dyDescent="0.25">
      <c r="A36" s="5" t="s">
        <v>237</v>
      </c>
      <c r="B36" s="5" t="s">
        <v>103</v>
      </c>
      <c r="C36" s="7" t="s">
        <v>104</v>
      </c>
      <c r="D36" s="5" t="s">
        <v>254</v>
      </c>
    </row>
    <row r="37" spans="1:4" x14ac:dyDescent="0.25">
      <c r="A37" s="5" t="s">
        <v>237</v>
      </c>
      <c r="B37" s="5" t="s">
        <v>105</v>
      </c>
      <c r="C37" s="7" t="s">
        <v>106</v>
      </c>
      <c r="D37" s="5" t="s">
        <v>241</v>
      </c>
    </row>
    <row r="38" spans="1:4" x14ac:dyDescent="0.25">
      <c r="A38" s="5" t="s">
        <v>237</v>
      </c>
      <c r="B38" s="5" t="s">
        <v>107</v>
      </c>
      <c r="C38" s="7" t="s">
        <v>108</v>
      </c>
      <c r="D38" s="5" t="s">
        <v>247</v>
      </c>
    </row>
    <row r="39" spans="1:4" x14ac:dyDescent="0.25">
      <c r="A39" s="5" t="s">
        <v>237</v>
      </c>
      <c r="B39" s="5" t="s">
        <v>109</v>
      </c>
      <c r="C39" s="7" t="s">
        <v>110</v>
      </c>
      <c r="D39" s="5" t="s">
        <v>248</v>
      </c>
    </row>
    <row r="40" spans="1:4" x14ac:dyDescent="0.25">
      <c r="A40" s="5" t="s">
        <v>234</v>
      </c>
      <c r="B40" s="5" t="s">
        <v>111</v>
      </c>
      <c r="C40" s="7" t="s">
        <v>112</v>
      </c>
      <c r="D40" s="5" t="s">
        <v>255</v>
      </c>
    </row>
    <row r="41" spans="1:4" x14ac:dyDescent="0.25">
      <c r="A41" s="5" t="s">
        <v>234</v>
      </c>
      <c r="B41" s="5" t="s">
        <v>113</v>
      </c>
      <c r="C41" s="7" t="s">
        <v>114</v>
      </c>
      <c r="D41" s="5" t="s">
        <v>256</v>
      </c>
    </row>
    <row r="42" spans="1:4" x14ac:dyDescent="0.25">
      <c r="A42" s="5" t="s">
        <v>234</v>
      </c>
      <c r="B42" s="5" t="s">
        <v>115</v>
      </c>
      <c r="C42" s="7" t="s">
        <v>116</v>
      </c>
      <c r="D42" s="5" t="s">
        <v>257</v>
      </c>
    </row>
    <row r="43" spans="1:4" x14ac:dyDescent="0.25">
      <c r="A43" s="5" t="s">
        <v>234</v>
      </c>
      <c r="B43" s="5" t="s">
        <v>117</v>
      </c>
      <c r="C43" s="7" t="s">
        <v>118</v>
      </c>
      <c r="D43" s="5" t="s">
        <v>258</v>
      </c>
    </row>
    <row r="44" spans="1:4" x14ac:dyDescent="0.25">
      <c r="A44" s="5" t="s">
        <v>234</v>
      </c>
      <c r="B44" s="5" t="s">
        <v>119</v>
      </c>
      <c r="C44" s="7" t="s">
        <v>120</v>
      </c>
      <c r="D44" s="5" t="s">
        <v>259</v>
      </c>
    </row>
    <row r="45" spans="1:4" x14ac:dyDescent="0.25">
      <c r="A45" s="5" t="s">
        <v>234</v>
      </c>
      <c r="B45" s="5" t="s">
        <v>121</v>
      </c>
      <c r="C45" s="7" t="s">
        <v>122</v>
      </c>
      <c r="D45" s="5" t="s">
        <v>235</v>
      </c>
    </row>
    <row r="46" spans="1:4" x14ac:dyDescent="0.25">
      <c r="A46" s="5" t="s">
        <v>234</v>
      </c>
      <c r="B46" s="5" t="s">
        <v>123</v>
      </c>
      <c r="C46" s="7" t="s">
        <v>124</v>
      </c>
      <c r="D46" s="5" t="s">
        <v>260</v>
      </c>
    </row>
    <row r="47" spans="1:4" x14ac:dyDescent="0.25">
      <c r="A47" s="5" t="s">
        <v>234</v>
      </c>
      <c r="B47" s="5" t="s">
        <v>125</v>
      </c>
      <c r="C47" s="7" t="s">
        <v>126</v>
      </c>
      <c r="D47" s="5" t="s">
        <v>257</v>
      </c>
    </row>
    <row r="48" spans="1:4" x14ac:dyDescent="0.25">
      <c r="A48" s="5" t="s">
        <v>234</v>
      </c>
      <c r="B48" s="5" t="s">
        <v>127</v>
      </c>
      <c r="C48" s="7" t="s">
        <v>128</v>
      </c>
      <c r="D48" s="5" t="s">
        <v>261</v>
      </c>
    </row>
    <row r="49" spans="1:4" x14ac:dyDescent="0.25">
      <c r="A49" s="5" t="s">
        <v>234</v>
      </c>
      <c r="B49" s="5" t="s">
        <v>129</v>
      </c>
      <c r="C49" s="7" t="s">
        <v>130</v>
      </c>
      <c r="D49" s="5" t="s">
        <v>243</v>
      </c>
    </row>
    <row r="50" spans="1:4" x14ac:dyDescent="0.25">
      <c r="A50" s="5" t="s">
        <v>234</v>
      </c>
      <c r="B50" s="5" t="s">
        <v>131</v>
      </c>
      <c r="C50" s="7" t="s">
        <v>132</v>
      </c>
      <c r="D50" s="5" t="s">
        <v>239</v>
      </c>
    </row>
    <row r="51" spans="1:4" x14ac:dyDescent="0.25">
      <c r="A51" s="5" t="s">
        <v>234</v>
      </c>
      <c r="B51" s="5" t="s">
        <v>133</v>
      </c>
      <c r="C51" s="7" t="s">
        <v>134</v>
      </c>
      <c r="D51" s="5" t="s">
        <v>255</v>
      </c>
    </row>
    <row r="52" spans="1:4" x14ac:dyDescent="0.25">
      <c r="A52" s="5" t="s">
        <v>234</v>
      </c>
      <c r="B52" s="5" t="s">
        <v>135</v>
      </c>
      <c r="C52" s="7" t="s">
        <v>136</v>
      </c>
      <c r="D52" s="5" t="s">
        <v>256</v>
      </c>
    </row>
    <row r="53" spans="1:4" x14ac:dyDescent="0.25">
      <c r="A53" s="5" t="s">
        <v>234</v>
      </c>
      <c r="B53" s="5" t="s">
        <v>137</v>
      </c>
      <c r="C53" s="7" t="s">
        <v>138</v>
      </c>
      <c r="D53" s="5" t="s">
        <v>257</v>
      </c>
    </row>
    <row r="54" spans="1:4" x14ac:dyDescent="0.25">
      <c r="A54" s="5" t="s">
        <v>234</v>
      </c>
      <c r="B54" s="5" t="s">
        <v>139</v>
      </c>
      <c r="C54" s="7" t="s">
        <v>140</v>
      </c>
      <c r="D54" s="5" t="s">
        <v>258</v>
      </c>
    </row>
    <row r="55" spans="1:4" x14ac:dyDescent="0.25">
      <c r="A55" s="5" t="s">
        <v>234</v>
      </c>
      <c r="B55" s="5" t="s">
        <v>141</v>
      </c>
      <c r="C55" s="7" t="s">
        <v>142</v>
      </c>
      <c r="D55" s="5" t="s">
        <v>259</v>
      </c>
    </row>
    <row r="56" spans="1:4" x14ac:dyDescent="0.25">
      <c r="A56" s="5" t="s">
        <v>234</v>
      </c>
      <c r="B56" s="5" t="s">
        <v>143</v>
      </c>
      <c r="C56" s="7" t="s">
        <v>144</v>
      </c>
      <c r="D56" s="5" t="s">
        <v>235</v>
      </c>
    </row>
    <row r="57" spans="1:4" x14ac:dyDescent="0.25">
      <c r="A57" s="5" t="s">
        <v>234</v>
      </c>
      <c r="B57" s="5" t="s">
        <v>145</v>
      </c>
      <c r="C57" s="7" t="s">
        <v>146</v>
      </c>
      <c r="D57" s="5" t="s">
        <v>260</v>
      </c>
    </row>
    <row r="58" spans="1:4" x14ac:dyDescent="0.25">
      <c r="A58" s="5" t="s">
        <v>234</v>
      </c>
      <c r="B58" s="5" t="s">
        <v>147</v>
      </c>
      <c r="C58" s="7" t="s">
        <v>148</v>
      </c>
      <c r="D58" s="5" t="s">
        <v>257</v>
      </c>
    </row>
    <row r="59" spans="1:4" x14ac:dyDescent="0.25">
      <c r="A59" s="5" t="s">
        <v>234</v>
      </c>
      <c r="B59" s="5" t="s">
        <v>149</v>
      </c>
      <c r="C59" s="7" t="s">
        <v>150</v>
      </c>
      <c r="D59" s="5" t="s">
        <v>261</v>
      </c>
    </row>
    <row r="60" spans="1:4" x14ac:dyDescent="0.25">
      <c r="A60" s="5" t="s">
        <v>234</v>
      </c>
      <c r="B60" s="5" t="s">
        <v>151</v>
      </c>
      <c r="C60" s="7" t="s">
        <v>152</v>
      </c>
      <c r="D60" s="5" t="s">
        <v>239</v>
      </c>
    </row>
    <row r="61" spans="1:4" x14ac:dyDescent="0.25">
      <c r="A61" s="5" t="s">
        <v>234</v>
      </c>
      <c r="B61" s="5" t="s">
        <v>153</v>
      </c>
      <c r="C61" s="7" t="s">
        <v>154</v>
      </c>
      <c r="D61" s="5" t="s">
        <v>239</v>
      </c>
    </row>
    <row r="62" spans="1:4" x14ac:dyDescent="0.25">
      <c r="A62" s="5" t="s">
        <v>234</v>
      </c>
      <c r="B62" s="5" t="s">
        <v>155</v>
      </c>
      <c r="C62" s="7" t="s">
        <v>156</v>
      </c>
      <c r="D62" s="5" t="s">
        <v>253</v>
      </c>
    </row>
    <row r="63" spans="1:4" x14ac:dyDescent="0.25">
      <c r="A63" s="5" t="s">
        <v>234</v>
      </c>
      <c r="B63" s="5" t="s">
        <v>157</v>
      </c>
      <c r="C63" s="7" t="s">
        <v>158</v>
      </c>
      <c r="D63" s="5" t="s">
        <v>239</v>
      </c>
    </row>
    <row r="64" spans="1:4" x14ac:dyDescent="0.25">
      <c r="A64" s="5" t="s">
        <v>234</v>
      </c>
      <c r="B64" s="5" t="s">
        <v>159</v>
      </c>
      <c r="C64" s="7" t="s">
        <v>160</v>
      </c>
      <c r="D64" s="5" t="s">
        <v>240</v>
      </c>
    </row>
    <row r="65" spans="1:4" x14ac:dyDescent="0.25">
      <c r="A65" s="5" t="s">
        <v>234</v>
      </c>
      <c r="B65" s="5" t="s">
        <v>161</v>
      </c>
      <c r="C65" s="7" t="s">
        <v>162</v>
      </c>
      <c r="D65" s="5" t="s">
        <v>241</v>
      </c>
    </row>
    <row r="66" spans="1:4" x14ac:dyDescent="0.25">
      <c r="A66" s="5" t="s">
        <v>234</v>
      </c>
      <c r="B66" s="5" t="s">
        <v>163</v>
      </c>
      <c r="C66" s="7" t="s">
        <v>164</v>
      </c>
      <c r="D66" s="5" t="s">
        <v>242</v>
      </c>
    </row>
    <row r="67" spans="1:4" x14ac:dyDescent="0.25">
      <c r="A67" s="5" t="s">
        <v>234</v>
      </c>
      <c r="B67" s="5" t="s">
        <v>165</v>
      </c>
      <c r="C67" s="7" t="s">
        <v>166</v>
      </c>
      <c r="D67" s="5" t="s">
        <v>262</v>
      </c>
    </row>
    <row r="68" spans="1:4" x14ac:dyDescent="0.25">
      <c r="A68" s="5" t="s">
        <v>237</v>
      </c>
      <c r="B68" s="5" t="s">
        <v>167</v>
      </c>
      <c r="C68" s="7" t="s">
        <v>168</v>
      </c>
      <c r="D68" s="5" t="s">
        <v>235</v>
      </c>
    </row>
    <row r="69" spans="1:4" x14ac:dyDescent="0.25">
      <c r="A69" s="5" t="s">
        <v>237</v>
      </c>
      <c r="B69" s="5" t="s">
        <v>169</v>
      </c>
      <c r="C69" s="7" t="s">
        <v>170</v>
      </c>
      <c r="D69" s="5" t="s">
        <v>235</v>
      </c>
    </row>
    <row r="70" spans="1:4" x14ac:dyDescent="0.25">
      <c r="A70" s="5" t="s">
        <v>234</v>
      </c>
      <c r="B70" s="5" t="s">
        <v>171</v>
      </c>
      <c r="C70" s="7" t="s">
        <v>172</v>
      </c>
      <c r="D70" s="5" t="s">
        <v>253</v>
      </c>
    </row>
    <row r="71" spans="1:4" x14ac:dyDescent="0.25">
      <c r="A71" s="5" t="s">
        <v>234</v>
      </c>
      <c r="B71" s="5" t="s">
        <v>173</v>
      </c>
      <c r="C71" s="7" t="s">
        <v>174</v>
      </c>
      <c r="D71" s="5" t="s">
        <v>239</v>
      </c>
    </row>
    <row r="72" spans="1:4" x14ac:dyDescent="0.25">
      <c r="A72" s="5" t="s">
        <v>234</v>
      </c>
      <c r="B72" s="5" t="s">
        <v>175</v>
      </c>
      <c r="C72" s="7" t="s">
        <v>176</v>
      </c>
      <c r="D72" s="5" t="s">
        <v>262</v>
      </c>
    </row>
    <row r="73" spans="1:4" x14ac:dyDescent="0.25">
      <c r="A73" s="5" t="s">
        <v>237</v>
      </c>
      <c r="B73" s="5" t="s">
        <v>177</v>
      </c>
      <c r="C73" s="7" t="s">
        <v>178</v>
      </c>
      <c r="D73" s="5" t="s">
        <v>235</v>
      </c>
    </row>
    <row r="74" spans="1:4" x14ac:dyDescent="0.25">
      <c r="A74" s="5" t="s">
        <v>234</v>
      </c>
      <c r="B74" s="5" t="s">
        <v>179</v>
      </c>
      <c r="C74" s="7" t="s">
        <v>180</v>
      </c>
      <c r="D74" s="5" t="s">
        <v>235</v>
      </c>
    </row>
    <row r="75" spans="1:4" x14ac:dyDescent="0.25">
      <c r="A75" s="5" t="s">
        <v>234</v>
      </c>
      <c r="B75" s="5" t="s">
        <v>181</v>
      </c>
      <c r="C75" s="7" t="s">
        <v>182</v>
      </c>
      <c r="D75" s="5" t="s">
        <v>235</v>
      </c>
    </row>
    <row r="76" spans="1:4" x14ac:dyDescent="0.25">
      <c r="A76" s="5" t="s">
        <v>237</v>
      </c>
      <c r="B76" s="5" t="s">
        <v>183</v>
      </c>
      <c r="C76" s="7" t="s">
        <v>184</v>
      </c>
      <c r="D76" s="5" t="s">
        <v>235</v>
      </c>
    </row>
    <row r="77" spans="1:4" x14ac:dyDescent="0.25">
      <c r="A77" s="5" t="s">
        <v>234</v>
      </c>
      <c r="B77" s="5" t="s">
        <v>185</v>
      </c>
      <c r="C77" s="7" t="s">
        <v>186</v>
      </c>
      <c r="D77" s="5" t="s">
        <v>235</v>
      </c>
    </row>
    <row r="78" spans="1:4" x14ac:dyDescent="0.25">
      <c r="A78" s="5" t="s">
        <v>234</v>
      </c>
      <c r="B78" s="5" t="s">
        <v>187</v>
      </c>
      <c r="C78" s="7" t="s">
        <v>188</v>
      </c>
      <c r="D78" s="5" t="s">
        <v>235</v>
      </c>
    </row>
    <row r="79" spans="1:4" x14ac:dyDescent="0.25">
      <c r="A79" s="5" t="s">
        <v>234</v>
      </c>
      <c r="B79" s="5" t="s">
        <v>189</v>
      </c>
      <c r="C79" s="7" t="s">
        <v>190</v>
      </c>
      <c r="D79" s="5" t="s">
        <v>235</v>
      </c>
    </row>
    <row r="80" spans="1:4" x14ac:dyDescent="0.25">
      <c r="A80" s="5" t="s">
        <v>234</v>
      </c>
      <c r="B80" s="5" t="s">
        <v>191</v>
      </c>
      <c r="C80" s="7" t="s">
        <v>192</v>
      </c>
      <c r="D80" s="5" t="s">
        <v>235</v>
      </c>
    </row>
    <row r="81" spans="1:4" x14ac:dyDescent="0.25">
      <c r="A81" s="5" t="s">
        <v>234</v>
      </c>
      <c r="B81" s="5" t="s">
        <v>193</v>
      </c>
      <c r="C81" s="7" t="s">
        <v>194</v>
      </c>
      <c r="D81" s="5" t="s">
        <v>235</v>
      </c>
    </row>
    <row r="82" spans="1:4" x14ac:dyDescent="0.25">
      <c r="A82" s="5" t="s">
        <v>234</v>
      </c>
      <c r="B82" s="5" t="s">
        <v>195</v>
      </c>
      <c r="C82" s="7" t="s">
        <v>196</v>
      </c>
      <c r="D82" s="5" t="s">
        <v>235</v>
      </c>
    </row>
    <row r="83" spans="1:4" x14ac:dyDescent="0.25">
      <c r="A83" s="5" t="s">
        <v>234</v>
      </c>
      <c r="B83" s="5" t="s">
        <v>197</v>
      </c>
      <c r="C83" s="7" t="s">
        <v>198</v>
      </c>
      <c r="D83" s="5" t="s">
        <v>235</v>
      </c>
    </row>
    <row r="84" spans="1:4" x14ac:dyDescent="0.25">
      <c r="A84" s="5" t="s">
        <v>234</v>
      </c>
      <c r="B84" s="5" t="s">
        <v>199</v>
      </c>
      <c r="C84" s="7" t="s">
        <v>200</v>
      </c>
      <c r="D84" s="5" t="s">
        <v>235</v>
      </c>
    </row>
    <row r="85" spans="1:4" x14ac:dyDescent="0.25">
      <c r="A85" s="5" t="s">
        <v>234</v>
      </c>
      <c r="B85" s="5" t="s">
        <v>201</v>
      </c>
      <c r="C85" s="7" t="s">
        <v>202</v>
      </c>
      <c r="D85" s="5" t="s">
        <v>235</v>
      </c>
    </row>
    <row r="86" spans="1:4" x14ac:dyDescent="0.25">
      <c r="A86" s="5" t="s">
        <v>234</v>
      </c>
      <c r="B86" s="5" t="s">
        <v>203</v>
      </c>
      <c r="C86" s="7" t="s">
        <v>204</v>
      </c>
      <c r="D86" s="5" t="s">
        <v>235</v>
      </c>
    </row>
    <row r="87" spans="1:4" x14ac:dyDescent="0.25">
      <c r="A87" s="5" t="s">
        <v>234</v>
      </c>
      <c r="B87" s="5" t="s">
        <v>205</v>
      </c>
      <c r="C87" s="7" t="s">
        <v>206</v>
      </c>
      <c r="D87" s="5" t="s">
        <v>235</v>
      </c>
    </row>
    <row r="88" spans="1:4" x14ac:dyDescent="0.25">
      <c r="A88" s="5" t="s">
        <v>234</v>
      </c>
      <c r="B88" s="5" t="s">
        <v>207</v>
      </c>
      <c r="C88" s="7" t="s">
        <v>208</v>
      </c>
      <c r="D88" s="5" t="s">
        <v>235</v>
      </c>
    </row>
    <row r="89" spans="1:4" x14ac:dyDescent="0.25">
      <c r="A89" s="5" t="s">
        <v>234</v>
      </c>
      <c r="B89" s="5" t="s">
        <v>209</v>
      </c>
      <c r="C89" s="7" t="s">
        <v>210</v>
      </c>
      <c r="D89" s="5" t="s">
        <v>235</v>
      </c>
    </row>
    <row r="90" spans="1:4" x14ac:dyDescent="0.25">
      <c r="A90" s="5" t="s">
        <v>234</v>
      </c>
      <c r="B90" s="5" t="s">
        <v>211</v>
      </c>
      <c r="C90" s="7" t="s">
        <v>212</v>
      </c>
      <c r="D90" s="5" t="s">
        <v>235</v>
      </c>
    </row>
    <row r="91" spans="1:4" x14ac:dyDescent="0.25">
      <c r="A91" s="5" t="s">
        <v>234</v>
      </c>
      <c r="B91" s="5" t="s">
        <v>213</v>
      </c>
      <c r="C91" s="7" t="s">
        <v>214</v>
      </c>
      <c r="D91" s="5" t="s">
        <v>235</v>
      </c>
    </row>
    <row r="92" spans="1:4" x14ac:dyDescent="0.25">
      <c r="A92" s="5" t="s">
        <v>234</v>
      </c>
      <c r="B92" s="5" t="s">
        <v>215</v>
      </c>
      <c r="C92" s="7" t="s">
        <v>216</v>
      </c>
      <c r="D92" s="5" t="s">
        <v>235</v>
      </c>
    </row>
    <row r="93" spans="1:4" x14ac:dyDescent="0.25">
      <c r="A93" s="5" t="s">
        <v>234</v>
      </c>
      <c r="B93" s="5" t="s">
        <v>217</v>
      </c>
      <c r="C93" s="7" t="s">
        <v>218</v>
      </c>
      <c r="D93" s="5" t="s">
        <v>235</v>
      </c>
    </row>
    <row r="94" spans="1:4" x14ac:dyDescent="0.25">
      <c r="A94" s="5" t="s">
        <v>234</v>
      </c>
      <c r="B94" s="5" t="s">
        <v>219</v>
      </c>
      <c r="C94" s="7" t="s">
        <v>220</v>
      </c>
      <c r="D94" s="5" t="s">
        <v>235</v>
      </c>
    </row>
    <row r="95" spans="1:4" x14ac:dyDescent="0.25">
      <c r="A95" s="5" t="s">
        <v>234</v>
      </c>
      <c r="B95" s="5" t="s">
        <v>221</v>
      </c>
      <c r="C95" s="7" t="s">
        <v>222</v>
      </c>
      <c r="D95" s="5" t="s">
        <v>238</v>
      </c>
    </row>
    <row r="96" spans="1:4" x14ac:dyDescent="0.25">
      <c r="A96" s="5" t="s">
        <v>234</v>
      </c>
      <c r="B96" s="5" t="s">
        <v>223</v>
      </c>
      <c r="C96" s="7" t="s">
        <v>224</v>
      </c>
      <c r="D96" s="5" t="s">
        <v>235</v>
      </c>
    </row>
    <row r="97" spans="1:4" x14ac:dyDescent="0.25">
      <c r="A97" s="5" t="s">
        <v>234</v>
      </c>
      <c r="B97" s="5" t="s">
        <v>225</v>
      </c>
      <c r="C97" s="7" t="s">
        <v>226</v>
      </c>
      <c r="D97" s="5" t="s">
        <v>235</v>
      </c>
    </row>
    <row r="98" spans="1:4" x14ac:dyDescent="0.25">
      <c r="A98" s="5" t="s">
        <v>234</v>
      </c>
      <c r="B98" s="5" t="s">
        <v>227</v>
      </c>
      <c r="C98" s="7" t="s">
        <v>228</v>
      </c>
      <c r="D98" s="5" t="s">
        <v>235</v>
      </c>
    </row>
    <row r="99" spans="1:4" x14ac:dyDescent="0.25">
      <c r="A99" s="5" t="s">
        <v>234</v>
      </c>
      <c r="B99" s="5" t="s">
        <v>229</v>
      </c>
      <c r="C99" s="7" t="s">
        <v>230</v>
      </c>
      <c r="D99" s="5" t="s">
        <v>235</v>
      </c>
    </row>
  </sheetData>
  <phoneticPr fontId="2" type="noConversion"/>
  <dataValidations count="1">
    <dataValidation type="list" allowBlank="1" showInputMessage="1" showErrorMessage="1" sqref="A2:A99" xr:uid="{5B8F05EE-DC1E-44F9-975C-94649C030DB4}">
      <formula1>"Yes,No"</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4086-073D-4E2B-8960-F694E5367B5D}">
  <dimension ref="A1:C10"/>
  <sheetViews>
    <sheetView workbookViewId="0">
      <pane ySplit="1" topLeftCell="A2" activePane="bottomLeft" state="frozen"/>
      <selection pane="bottomLeft" sqref="A1:XFD1"/>
    </sheetView>
  </sheetViews>
  <sheetFormatPr defaultRowHeight="15" x14ac:dyDescent="0.25"/>
  <cols>
    <col min="1" max="1" width="65.28515625" bestFit="1" customWidth="1"/>
    <col min="2" max="2" width="15.28515625" customWidth="1"/>
    <col min="3" max="3" width="17.5703125" customWidth="1"/>
  </cols>
  <sheetData>
    <row r="1" spans="1:3" ht="45" customHeight="1" x14ac:dyDescent="0.25">
      <c r="A1" s="1" t="s">
        <v>263</v>
      </c>
      <c r="B1" s="1" t="s">
        <v>264</v>
      </c>
      <c r="C1" s="1" t="s">
        <v>265</v>
      </c>
    </row>
    <row r="2" spans="1:3" x14ac:dyDescent="0.25">
      <c r="A2" t="s">
        <v>26</v>
      </c>
      <c r="B2" s="4">
        <v>1600</v>
      </c>
      <c r="C2" s="4">
        <f t="shared" ref="C2:C10" si="0">B2/60</f>
        <v>26.666666666666668</v>
      </c>
    </row>
    <row r="3" spans="1:3" x14ac:dyDescent="0.25">
      <c r="A3" t="s">
        <v>27</v>
      </c>
      <c r="B3" s="4">
        <v>1500</v>
      </c>
      <c r="C3" s="4">
        <f t="shared" si="0"/>
        <v>25</v>
      </c>
    </row>
    <row r="4" spans="1:3" x14ac:dyDescent="0.25">
      <c r="A4" t="s">
        <v>28</v>
      </c>
      <c r="B4" s="4">
        <v>1400</v>
      </c>
      <c r="C4" s="4">
        <f t="shared" si="0"/>
        <v>23.333333333333332</v>
      </c>
    </row>
    <row r="5" spans="1:3" x14ac:dyDescent="0.25">
      <c r="A5" t="s">
        <v>29</v>
      </c>
      <c r="B5" s="4">
        <v>1100</v>
      </c>
      <c r="C5" s="4">
        <f t="shared" si="0"/>
        <v>18.333333333333332</v>
      </c>
    </row>
    <row r="6" spans="1:3" x14ac:dyDescent="0.25">
      <c r="A6" t="s">
        <v>30</v>
      </c>
      <c r="B6" s="4">
        <v>1700</v>
      </c>
      <c r="C6" s="4">
        <f t="shared" si="0"/>
        <v>28.333333333333332</v>
      </c>
    </row>
    <row r="7" spans="1:3" x14ac:dyDescent="0.25">
      <c r="A7" t="s">
        <v>31</v>
      </c>
      <c r="B7" s="4">
        <v>900</v>
      </c>
      <c r="C7" s="4">
        <f t="shared" si="0"/>
        <v>15</v>
      </c>
    </row>
    <row r="8" spans="1:3" x14ac:dyDescent="0.25">
      <c r="A8" t="s">
        <v>266</v>
      </c>
      <c r="B8" s="4">
        <v>800</v>
      </c>
      <c r="C8" s="4">
        <f t="shared" si="0"/>
        <v>13.333333333333334</v>
      </c>
    </row>
    <row r="9" spans="1:3" x14ac:dyDescent="0.25">
      <c r="A9" t="s">
        <v>32</v>
      </c>
      <c r="B9" s="4">
        <v>500</v>
      </c>
      <c r="C9" s="4">
        <f t="shared" si="0"/>
        <v>8.3333333333333339</v>
      </c>
    </row>
    <row r="10" spans="1:3" x14ac:dyDescent="0.25">
      <c r="A10" t="s">
        <v>33</v>
      </c>
      <c r="B10" s="4">
        <v>400</v>
      </c>
      <c r="C10" s="4">
        <f t="shared" si="0"/>
        <v>6.666666666666667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27A0DE307DC44C9C6D49C199E56D43" ma:contentTypeVersion="17" ma:contentTypeDescription="Create a new document." ma:contentTypeScope="" ma:versionID="792277f2e4dc809c4aae5c8abb069133">
  <xsd:schema xmlns:xsd="http://www.w3.org/2001/XMLSchema" xmlns:xs="http://www.w3.org/2001/XMLSchema" xmlns:p="http://schemas.microsoft.com/office/2006/metadata/properties" xmlns:ns2="bdde9dca-b655-4c82-9756-0719d4cc3ad5" xmlns:ns3="08b51a6c-15c5-468c-9d03-3812a6e79002" targetNamespace="http://schemas.microsoft.com/office/2006/metadata/properties" ma:root="true" ma:fieldsID="54b1b589b8285858c95b3542f4c822e1" ns2:_="" ns3:_="">
    <xsd:import namespace="bdde9dca-b655-4c82-9756-0719d4cc3ad5"/>
    <xsd:import namespace="08b51a6c-15c5-468c-9d03-3812a6e790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Coun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de9dca-b655-4c82-9756-0719d4cc3a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County" ma:index="24" nillable="true" ma:displayName="County" ma:description="Where PIPs are from" ma:format="Dropdown" ma:internalName="County">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b51a6c-15c5-468c-9d03-3812a6e7900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44764a0-56e0-4cd0-8eca-b34752208dec}" ma:internalName="TaxCatchAll" ma:showField="CatchAllData" ma:web="08b51a6c-15c5-468c-9d03-3812a6e79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514312-A4DB-475C-9F05-1C95613FB3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de9dca-b655-4c82-9756-0719d4cc3ad5"/>
    <ds:schemaRef ds:uri="08b51a6c-15c5-468c-9d03-3812a6e79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4C43C5-5AE4-4651-8509-8B5C82EBBD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Units</vt:lpstr>
      <vt:lpstr>Revenue</vt:lpstr>
      <vt:lpstr>Code Rates</vt:lpstr>
      <vt:lpstr>Code Minutes</vt:lpstr>
      <vt:lpstr>Provider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Wagner</dc:creator>
  <cp:keywords/>
  <dc:description/>
  <cp:lastModifiedBy>Andrew Wagner</cp:lastModifiedBy>
  <cp:revision/>
  <dcterms:created xsi:type="dcterms:W3CDTF">2022-10-25T12:31:27Z</dcterms:created>
  <dcterms:modified xsi:type="dcterms:W3CDTF">2022-11-17T00:44:13Z</dcterms:modified>
  <cp:category/>
  <cp:contentStatus/>
</cp:coreProperties>
</file>